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75" windowWidth="17760" windowHeight="12060" activeTab="0"/>
  </bookViews>
  <sheets>
    <sheet name="Sail Data" sheetId="1" r:id="rId1"/>
    <sheet name="Calcs-1" sheetId="2" state="hidden" r:id="rId2"/>
  </sheets>
  <definedNames>
    <definedName name="AMG_1">'Sail Data'!$R$7</definedName>
    <definedName name="AMG_1a">'Sail Data'!$S$7</definedName>
    <definedName name="AS_axes_maxx">'Calcs-1'!$M$11</definedName>
    <definedName name="AS_axes_maxy">'Calcs-1'!$N$11</definedName>
    <definedName name="AS_axes_minx">'Calcs-1'!$M$12</definedName>
    <definedName name="AS_axes_miny">'Calcs-1'!$N$12</definedName>
    <definedName name="AS_data_maxx">'Calcs-1'!$M$5</definedName>
    <definedName name="AS_data_maxy">'Calcs-1'!$N$5</definedName>
    <definedName name="AS_data_minx">'Calcs-1'!$M$6</definedName>
    <definedName name="AS_data_miny">'Calcs-1'!$N$6</definedName>
    <definedName name="AS_dummy_hor_maxx">'Calcs-1'!$M$16</definedName>
    <definedName name="AS_dummy_hor_maxy">'Calcs-1'!$N$16</definedName>
    <definedName name="AS_dummy_hor_minx">'Calcs-1'!$M$17</definedName>
    <definedName name="AS_dummy_hor_miny">'Calcs-1'!$N$17</definedName>
    <definedName name="AS_dummy_vert_maxx">'Calcs-1'!$M$18</definedName>
    <definedName name="AS_dummy_vert_maxy">'Calcs-1'!$N$18</definedName>
    <definedName name="AS_dummy_vert_minx">'Calcs-1'!$M$19</definedName>
    <definedName name="AS_dummy_vert_miny">'Calcs-1'!$N$19</definedName>
    <definedName name="AS_xdata_range">'Calcs-1'!$M$7</definedName>
    <definedName name="AS_ydata_range">'Calcs-1'!$N$7</definedName>
    <definedName name="ASF_1">'Sail Data'!$R$8</definedName>
    <definedName name="ASF_1a">'Sail Data'!$S$8</definedName>
    <definedName name="ASL_1">'Sail Data'!$R$9</definedName>
    <definedName name="ASL_1a">'Sail Data'!$S$9</definedName>
    <definedName name="ASLE_1">'Sail Data'!$R$6</definedName>
    <definedName name="ASLE_1a">'Sail Data'!$S$6</definedName>
    <definedName name="ASLU_1">'Sail Data'!$R$5</definedName>
    <definedName name="ASLU_1a">'Sail Data'!$S$5</definedName>
    <definedName name="Assumed_Tack_Angle_d">'Calcs-1'!$R$4</definedName>
    <definedName name="Clew_a_x">'Calcs-1'!$I$5</definedName>
    <definedName name="Clew_a_y">'Calcs-1'!$J$5</definedName>
    <definedName name="Clew_Angle_a_d">'Calcs-1'!$R$15</definedName>
    <definedName name="Clew_Height_Angle_d">'Calcs-1'!$R$17</definedName>
    <definedName name="Clew_Height_Angle_r">'Calcs-1'!$R$16</definedName>
    <definedName name="Ext_SLE_Angle_d">'Calcs-1'!$R$19</definedName>
    <definedName name="Ext_SLE_Angle_r">'Calcs-1'!$R$18</definedName>
    <definedName name="FAPer">'Calcs-1'!$R$51</definedName>
    <definedName name="Foot_Offset_Distance">'Calcs-1'!$R$24</definedName>
    <definedName name="Foot_Offset_Factor">'Calcs-1'!$R$23</definedName>
    <definedName name="Foot_Offset_x">'Calcs-1'!$R$25</definedName>
    <definedName name="Foot_Offset_y">'Calcs-1'!$S$25</definedName>
    <definedName name="Head_a_x">'Calcs-1'!$I$6</definedName>
    <definedName name="Head_a_y">'Calcs-1'!$J$6</definedName>
    <definedName name="Head_Angle_a_d">'Calcs-1'!$R$13</definedName>
    <definedName name="Head_Angle_a_r">'Calcs-1'!$R$12</definedName>
    <definedName name="LAPer">'Calcs-1'!$R$48</definedName>
    <definedName name="Mid_Foot_x">'Calcs-1'!$R$22</definedName>
    <definedName name="Mid_Foot_y">'Calcs-1'!$S$22</definedName>
    <definedName name="_xlnm.Print_Area" localSheetId="1">'Calcs-1'!$C$1:$O$57</definedName>
    <definedName name="_xlnm.Print_Area" localSheetId="0">'Sail Data'!$B$1:$N$61</definedName>
    <definedName name="Radians_90">'Calcs-1'!$R$20</definedName>
    <definedName name="SF_1">'Sail Data'!$N$13</definedName>
    <definedName name="SF_1a">'Sail Data'!$O$13</definedName>
    <definedName name="SF_a">'Calcs-1'!$D$8</definedName>
    <definedName name="SHW_a">'Calcs-1'!$D$7</definedName>
    <definedName name="SHW_Intercept">'Calcs-1'!$S$58:$T$196</definedName>
    <definedName name="SHW_Intercept_x">'Calcs-1'!$R$38</definedName>
    <definedName name="SHW_Intercept_y">'Calcs-1'!$S$38</definedName>
    <definedName name="SHW_mid_x">'Calcs-1'!$I$44</definedName>
    <definedName name="SHW_mid_y">'Calcs-1'!$J$44</definedName>
    <definedName name="SLE_a">'Calcs-1'!$D$6</definedName>
    <definedName name="SLE_Half_Luff_x">'Calcs-1'!$I$25</definedName>
    <definedName name="SLE_Half_Luff_y">'Calcs-1'!$J$25</definedName>
    <definedName name="SLE_Mid_Ext_Distance">'Calcs-1'!$R$33</definedName>
    <definedName name="SLE_Mid_Ext_Factor">'Calcs-1'!$R$32</definedName>
    <definedName name="SLE_Mid_Ext_x">'Calcs-1'!$R$35</definedName>
    <definedName name="SLE_Mid_Ext_y">'Calcs-1'!$S$35</definedName>
    <definedName name="SLE_Mid_Luff_Angle">'Calcs-1'!$R$34</definedName>
    <definedName name="SLE_Mid_Luff_Angle_r">'Calcs-1'!$R$34</definedName>
    <definedName name="SLE_Mid_x">'Calcs-1'!$R$36</definedName>
    <definedName name="SLE_Mid_y">'Calcs-1'!$S$36</definedName>
    <definedName name="SLU_a">'Calcs-1'!$D$5</definedName>
    <definedName name="SLU_Half_Leech_Point_x">'Calcs-1'!$R$30</definedName>
    <definedName name="SLU_Half_Leech_Point_y">'Calcs-1'!$S$30</definedName>
    <definedName name="SLU_Half_Luff_a_x">'Calcs-1'!$I$24</definedName>
    <definedName name="SLU_Half_Luff_a_y">'Calcs-1'!$J$24</definedName>
    <definedName name="SLU_Label_mid_x">'Calcs-1'!$I$34</definedName>
    <definedName name="SLU_Label_mid_y">'Calcs-1'!$J$34</definedName>
    <definedName name="SLU_Mid_x">'Calcs-1'!$R$29</definedName>
    <definedName name="SLU_Mid_y">'Calcs-1'!$S$29</definedName>
    <definedName name="SLU_Offset_Length">'Calcs-1'!$R$28</definedName>
    <definedName name="SLU_Offset_to_Half_Leech_Factor">'Calcs-1'!$R$27</definedName>
    <definedName name="SMG_1">'Sail Data'!$N$12</definedName>
    <definedName name="SMG_1a">'Sail Data'!$O$12</definedName>
    <definedName name="Start_for_int_x">'Calcs-1'!$W$12</definedName>
    <definedName name="Start_for_int_y">'Calcs-1'!$X$12</definedName>
    <definedName name="Step_Inc">'Calcs-1'!$V$9</definedName>
    <definedName name="Tack_a_x">'Calcs-1'!$R$5</definedName>
    <definedName name="Tack_a_y">'Calcs-1'!$R$6</definedName>
    <definedName name="Tack_Angle_a_d">'Calcs-1'!$R$11</definedName>
    <definedName name="Tack_Angle_a_r">'Calcs-1'!$R$10</definedName>
    <definedName name="TAP_d">'Calcs-1'!$R$8</definedName>
    <definedName name="TAP_r">'Calcs-1'!$R$9</definedName>
    <definedName name="TAPer">'Calcs-1'!$R$45</definedName>
    <definedName name="Tick_Length">'Calcs-1'!$H$53</definedName>
    <definedName name="Tick_Offset">'Calcs-1'!$H$52</definedName>
  </definedNames>
  <calcPr fullCalcOnLoad="1"/>
</workbook>
</file>

<file path=xl/sharedStrings.xml><?xml version="1.0" encoding="utf-8"?>
<sst xmlns="http://schemas.openxmlformats.org/spreadsheetml/2006/main" count="201" uniqueCount="123">
  <si>
    <t>Leech</t>
  </si>
  <si>
    <t>Luff</t>
  </si>
  <si>
    <t>SLU</t>
  </si>
  <si>
    <t>SLE</t>
  </si>
  <si>
    <t>Half Width</t>
  </si>
  <si>
    <t>SHW</t>
  </si>
  <si>
    <t>Foot</t>
  </si>
  <si>
    <t>SF</t>
  </si>
  <si>
    <t>Rad</t>
  </si>
  <si>
    <t>Deg</t>
  </si>
  <si>
    <t>x</t>
  </si>
  <si>
    <t>y</t>
  </si>
  <si>
    <t>Tack</t>
  </si>
  <si>
    <t>Clew</t>
  </si>
  <si>
    <t>Head</t>
  </si>
  <si>
    <t>Axes</t>
  </si>
  <si>
    <t>Max</t>
  </si>
  <si>
    <t>Min</t>
  </si>
  <si>
    <t>Clew Angle</t>
  </si>
  <si>
    <t>Red</t>
  </si>
  <si>
    <t>Tack Angle Plus</t>
  </si>
  <si>
    <t>Tack Angle</t>
  </si>
  <si>
    <t>Head Angle</t>
  </si>
  <si>
    <t>Clew Height Angle</t>
  </si>
  <si>
    <t>Ext SLE Angle</t>
  </si>
  <si>
    <t>Mid</t>
  </si>
  <si>
    <t>Mid Foot x,y</t>
  </si>
  <si>
    <t>Foot Offset Factor</t>
  </si>
  <si>
    <t>Foot Offset Distance</t>
  </si>
  <si>
    <t>Foot Offset x,y</t>
  </si>
  <si>
    <t>SLU Offset to Half Leech Factor</t>
  </si>
  <si>
    <t>SLU Offset to Half Leech Length</t>
  </si>
  <si>
    <t>SLU Mid</t>
  </si>
  <si>
    <t>SLU Half Leech Point</t>
  </si>
  <si>
    <t>SLE Mid Ext Factor</t>
  </si>
  <si>
    <t>SLE Mid Ext Distance</t>
  </si>
  <si>
    <t>SLE Mid Luff Angle</t>
  </si>
  <si>
    <t>SLE Mid Ext x,y</t>
  </si>
  <si>
    <t>SLE Mid</t>
  </si>
  <si>
    <t>Assumed Spin Tack to Mast Angle</t>
  </si>
  <si>
    <t>Assumed Tack x</t>
  </si>
  <si>
    <t>Assumed Tack y</t>
  </si>
  <si>
    <t>AMG / SHW</t>
  </si>
  <si>
    <t>ASF / SF</t>
  </si>
  <si>
    <t>Feet</t>
  </si>
  <si>
    <t>Radians(90)</t>
  </si>
  <si>
    <t>Data</t>
  </si>
  <si>
    <t>Range</t>
  </si>
  <si>
    <t>Dummy Series</t>
  </si>
  <si>
    <t>Lookup Intercept</t>
  </si>
  <si>
    <t>Distance at VLOOKUP</t>
  </si>
  <si>
    <t>Hor</t>
  </si>
  <si>
    <t>Vert</t>
  </si>
  <si>
    <t>SLU Half</t>
  </si>
  <si>
    <t>SLE Half</t>
  </si>
  <si>
    <t>Step Inc</t>
  </si>
  <si>
    <t>Dist</t>
  </si>
  <si>
    <t>Start</t>
  </si>
  <si>
    <t>Offset Distance</t>
  </si>
  <si>
    <t>0.5*Offset</t>
  </si>
  <si>
    <t>1.5*Offset</t>
  </si>
  <si>
    <t>INPUTS</t>
  </si>
  <si>
    <t>ASYM SPINNAKER</t>
  </si>
  <si>
    <t>ASYM - 1 CALCS</t>
  </si>
  <si>
    <t>Boat Name:</t>
  </si>
  <si>
    <t>Sail No.:</t>
  </si>
  <si>
    <t>Class/Model:</t>
  </si>
  <si>
    <t>Owner:</t>
  </si>
  <si>
    <t>Sail Desc.:</t>
  </si>
  <si>
    <t>Sail ID No.:</t>
  </si>
  <si>
    <t>Sail plotted below from input data.</t>
  </si>
  <si>
    <t>Sail shape is approximate.</t>
  </si>
  <si>
    <t>IRC</t>
  </si>
  <si>
    <t>Angle deg</t>
  </si>
  <si>
    <t>Angle rad</t>
  </si>
  <si>
    <t>Offset</t>
  </si>
  <si>
    <t>Percent</t>
  </si>
  <si>
    <t>Luff Length</t>
  </si>
  <si>
    <t>Leech Length</t>
  </si>
  <si>
    <t>Foot Length</t>
  </si>
  <si>
    <t>Labels</t>
  </si>
  <si>
    <t>Tick Offset</t>
  </si>
  <si>
    <t>Tick Length</t>
  </si>
  <si>
    <t>Luff Tick</t>
  </si>
  <si>
    <t>Top Tick Left</t>
  </si>
  <si>
    <t>Top Tick Right</t>
  </si>
  <si>
    <t>Bot Tick Left</t>
  </si>
  <si>
    <t>Bot Tick Right</t>
  </si>
  <si>
    <t>Luff Dim Top</t>
  </si>
  <si>
    <t>Luff Dim Bot</t>
  </si>
  <si>
    <t>Leech Tick</t>
  </si>
  <si>
    <t>Leech Dim Top</t>
  </si>
  <si>
    <t>Leech Dim Bot</t>
  </si>
  <si>
    <t>Foot Tick</t>
  </si>
  <si>
    <t>Left Tick Top</t>
  </si>
  <si>
    <t>Left Tick Bot</t>
  </si>
  <si>
    <t>Right Tick Top</t>
  </si>
  <si>
    <t>Right Tick Bot</t>
  </si>
  <si>
    <t>Foot Dim Left</t>
  </si>
  <si>
    <t>Foot Dim Right</t>
  </si>
  <si>
    <t>Tack Angle + 90</t>
  </si>
  <si>
    <t>Leech Angle - 90</t>
  </si>
  <si>
    <t>Foot Angle - 90</t>
  </si>
  <si>
    <t>Loft:</t>
  </si>
  <si>
    <t>Measurer Name:</t>
  </si>
  <si>
    <t>Date:</t>
  </si>
  <si>
    <t>Signature:</t>
  </si>
  <si>
    <t>Notes to sail measurers:</t>
  </si>
  <si>
    <t>Please complete electronically, including your name and date.</t>
  </si>
  <si>
    <t>Email the spreadsheet file to:</t>
  </si>
  <si>
    <t>offshore@ussailing.org</t>
  </si>
  <si>
    <t>A physical signature is not required when emailed directly by the measurer/loft.</t>
  </si>
  <si>
    <t>Please do not fax copies of this certificate or submit handwritten certifcates as these are most often not legible.</t>
  </si>
  <si>
    <t>Handwritten certificates also defeat the automatic conversion feature between metric and feet which is necessary for processing in the Offshore Office.</t>
  </si>
  <si>
    <t>All earlier versions of the US Sailing Sail Measurement Form spreadsheet are obsolete.</t>
  </si>
  <si>
    <t>Under the UMS concept, measurers are encouraged to measure all listed sail dimensions without respect to individual rules.</t>
  </si>
  <si>
    <t>A majority of boats race under multiple rules. Providing all the dimensions ensures the data needed is available.</t>
  </si>
  <si>
    <t>UMS Asymmetric Spinnaker Certificate</t>
  </si>
  <si>
    <t xml:space="preserve">  Measurement Units:  Meters</t>
  </si>
  <si>
    <t>SFL</t>
  </si>
  <si>
    <t>Version date: 16 Nov 2018</t>
  </si>
  <si>
    <t>Area</t>
  </si>
  <si>
    <t>Area                                       ORC / ORR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</si>
</sst>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  <numFmt numFmtId="172" formatCode="0.0000000000"/>
  </numFmts>
  <fonts count="83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u val="single"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/>
      <top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/>
      </right>
      <top>
        <color indexed="63"/>
      </top>
      <bottom style="thin">
        <color theme="0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15" fillId="1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5" fillId="35" borderId="0" applyNumberFormat="0" applyBorder="0" applyAlignment="0" applyProtection="0"/>
    <xf numFmtId="0" fontId="17" fillId="12" borderId="0" applyNumberFormat="0" applyBorder="0" applyAlignment="0" applyProtection="0"/>
    <xf numFmtId="0" fontId="66" fillId="36" borderId="1" applyNumberFormat="0" applyAlignment="0" applyProtection="0"/>
    <xf numFmtId="0" fontId="18" fillId="37" borderId="2" applyNumberFormat="0" applyAlignment="0" applyProtection="0"/>
    <xf numFmtId="0" fontId="19" fillId="38" borderId="3" applyNumberFormat="0" applyAlignment="0" applyProtection="0"/>
    <xf numFmtId="0" fontId="20" fillId="0" borderId="4" applyNumberFormat="0" applyFill="0" applyAlignment="0" applyProtection="0"/>
    <xf numFmtId="0" fontId="67" fillId="3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22" fillId="19" borderId="2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74" fillId="46" borderId="1" applyNumberFormat="0" applyAlignment="0" applyProtection="0"/>
    <xf numFmtId="0" fontId="75" fillId="0" borderId="9" applyNumberFormat="0" applyFill="0" applyAlignment="0" applyProtection="0"/>
    <xf numFmtId="0" fontId="76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0" borderId="10" applyNumberFormat="0" applyFont="0" applyAlignment="0" applyProtection="0"/>
    <xf numFmtId="0" fontId="0" fillId="48" borderId="11" applyNumberFormat="0" applyFont="0" applyAlignment="0" applyProtection="0"/>
    <xf numFmtId="0" fontId="77" fillId="36" borderId="12" applyNumberFormat="0" applyAlignment="0" applyProtection="0"/>
    <xf numFmtId="9" fontId="0" fillId="0" borderId="0" applyFont="0" applyFill="0" applyBorder="0" applyAlignment="0" applyProtection="0"/>
    <xf numFmtId="0" fontId="24" fillId="37" borderId="13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1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8" borderId="3" applyNumberFormat="0" applyAlignment="0" applyProtection="0"/>
    <xf numFmtId="0" fontId="31" fillId="19" borderId="0" applyNumberFormat="0" applyBorder="0" applyAlignment="0" applyProtection="0"/>
    <xf numFmtId="0" fontId="2" fillId="10" borderId="10" applyNumberFormat="0" applyFont="0" applyAlignment="0" applyProtection="0"/>
    <xf numFmtId="0" fontId="32" fillId="0" borderId="4" applyNumberFormat="0" applyFill="0" applyAlignment="0" applyProtection="0"/>
    <xf numFmtId="0" fontId="33" fillId="19" borderId="2" applyNumberFormat="0" applyAlignment="0" applyProtection="0"/>
    <xf numFmtId="0" fontId="34" fillId="37" borderId="13" applyNumberFormat="0" applyAlignment="0" applyProtection="0"/>
    <xf numFmtId="0" fontId="35" fillId="45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2" applyNumberFormat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18" applyNumberFormat="0" applyFill="0" applyAlignment="0" applyProtection="0"/>
  </cellStyleXfs>
  <cellXfs count="253">
    <xf numFmtId="0" fontId="0" fillId="0" borderId="0" xfId="0" applyAlignment="1">
      <alignment/>
    </xf>
    <xf numFmtId="0" fontId="2" fillId="0" borderId="0" xfId="105" applyAlignment="1">
      <alignment horizontal="left"/>
      <protection/>
    </xf>
    <xf numFmtId="0" fontId="5" fillId="0" borderId="0" xfId="105" applyFont="1" applyAlignment="1">
      <alignment horizontal="left"/>
      <protection/>
    </xf>
    <xf numFmtId="0" fontId="5" fillId="0" borderId="0" xfId="105" applyFont="1" applyAlignment="1" applyProtection="1">
      <alignment horizontal="left"/>
      <protection/>
    </xf>
    <xf numFmtId="0" fontId="7" fillId="0" borderId="0" xfId="105" applyFont="1" applyAlignment="1" applyProtection="1">
      <alignment horizontal="left"/>
      <protection/>
    </xf>
    <xf numFmtId="2" fontId="2" fillId="37" borderId="0" xfId="105" applyNumberFormat="1" applyFont="1" applyFill="1" applyBorder="1" applyAlignment="1" applyProtection="1">
      <alignment horizontal="center"/>
      <protection locked="0"/>
    </xf>
    <xf numFmtId="0" fontId="2" fillId="37" borderId="0" xfId="105" applyFont="1" applyFill="1" applyBorder="1" applyAlignment="1" applyProtection="1">
      <alignment horizontal="center"/>
      <protection locked="0"/>
    </xf>
    <xf numFmtId="0" fontId="12" fillId="37" borderId="0" xfId="105" applyFont="1" applyFill="1" applyBorder="1" applyAlignment="1" applyProtection="1">
      <alignment horizontal="center"/>
      <protection locked="0"/>
    </xf>
    <xf numFmtId="0" fontId="12" fillId="0" borderId="19" xfId="105" applyFont="1" applyFill="1" applyBorder="1" applyAlignment="1" applyProtection="1">
      <alignment horizontal="center"/>
      <protection locked="0"/>
    </xf>
    <xf numFmtId="2" fontId="12" fillId="37" borderId="20" xfId="105" applyNumberFormat="1" applyFont="1" applyFill="1" applyBorder="1" applyAlignment="1" applyProtection="1">
      <alignment horizontal="center"/>
      <protection/>
    </xf>
    <xf numFmtId="0" fontId="12" fillId="37" borderId="20" xfId="105" applyFont="1" applyFill="1" applyBorder="1" applyAlignment="1" applyProtection="1">
      <alignment horizontal="center"/>
      <protection locked="0"/>
    </xf>
    <xf numFmtId="0" fontId="5" fillId="0" borderId="0" xfId="105" applyFont="1" applyFill="1" applyBorder="1" applyAlignment="1">
      <alignment horizontal="left"/>
      <protection/>
    </xf>
    <xf numFmtId="0" fontId="12" fillId="37" borderId="20" xfId="105" applyFont="1" applyFill="1" applyBorder="1" applyAlignment="1" applyProtection="1">
      <alignment horizontal="center"/>
      <protection/>
    </xf>
    <xf numFmtId="2" fontId="12" fillId="37" borderId="19" xfId="105" applyNumberFormat="1" applyFont="1" applyFill="1" applyBorder="1" applyAlignment="1" applyProtection="1">
      <alignment horizontal="center"/>
      <protection locked="0"/>
    </xf>
    <xf numFmtId="164" fontId="12" fillId="37" borderId="20" xfId="105" applyNumberFormat="1" applyFont="1" applyFill="1" applyBorder="1" applyAlignment="1" applyProtection="1">
      <alignment horizontal="center"/>
      <protection locked="0"/>
    </xf>
    <xf numFmtId="0" fontId="2" fillId="0" borderId="19" xfId="105" applyFont="1" applyBorder="1">
      <alignment/>
      <protection/>
    </xf>
    <xf numFmtId="2" fontId="12" fillId="37" borderId="21" xfId="105" applyNumberFormat="1" applyFont="1" applyFill="1" applyBorder="1" applyAlignment="1" applyProtection="1">
      <alignment horizontal="left"/>
      <protection locked="0"/>
    </xf>
    <xf numFmtId="2" fontId="12" fillId="0" borderId="19" xfId="105" applyNumberFormat="1" applyFont="1" applyFill="1" applyBorder="1" applyAlignment="1" applyProtection="1">
      <alignment horizontal="center"/>
      <protection locked="0"/>
    </xf>
    <xf numFmtId="167" fontId="2" fillId="37" borderId="0" xfId="105" applyNumberFormat="1" applyFont="1" applyFill="1" applyBorder="1" applyAlignment="1" applyProtection="1">
      <alignment horizontal="center"/>
      <protection/>
    </xf>
    <xf numFmtId="0" fontId="12" fillId="37" borderId="19" xfId="105" applyFont="1" applyFill="1" applyBorder="1" applyAlignment="1" applyProtection="1">
      <alignment horizontal="right"/>
      <protection locked="0"/>
    </xf>
    <xf numFmtId="164" fontId="12" fillId="37" borderId="19" xfId="105" applyNumberFormat="1" applyFont="1" applyFill="1" applyBorder="1" applyAlignment="1" applyProtection="1">
      <alignment horizontal="center"/>
      <protection locked="0"/>
    </xf>
    <xf numFmtId="0" fontId="2" fillId="0" borderId="19" xfId="105" applyFont="1" applyFill="1" applyBorder="1" applyAlignment="1" applyProtection="1">
      <alignment horizontal="center"/>
      <protection locked="0"/>
    </xf>
    <xf numFmtId="1" fontId="12" fillId="0" borderId="19" xfId="105" applyNumberFormat="1" applyFont="1" applyFill="1" applyBorder="1" applyAlignment="1" applyProtection="1">
      <alignment horizontal="center"/>
      <protection locked="0"/>
    </xf>
    <xf numFmtId="165" fontId="12" fillId="0" borderId="19" xfId="105" applyNumberFormat="1" applyFont="1" applyFill="1" applyBorder="1" applyAlignment="1" applyProtection="1">
      <alignment horizontal="center"/>
      <protection locked="0"/>
    </xf>
    <xf numFmtId="164" fontId="12" fillId="37" borderId="21" xfId="105" applyNumberFormat="1" applyFont="1" applyFill="1" applyBorder="1" applyAlignment="1" applyProtection="1">
      <alignment horizontal="center"/>
      <protection locked="0"/>
    </xf>
    <xf numFmtId="0" fontId="12" fillId="37" borderId="19" xfId="105" applyFont="1" applyFill="1" applyBorder="1" applyAlignment="1" applyProtection="1">
      <alignment horizontal="center"/>
      <protection locked="0"/>
    </xf>
    <xf numFmtId="0" fontId="12" fillId="37" borderId="22" xfId="105" applyFont="1" applyFill="1" applyBorder="1" applyAlignment="1" applyProtection="1">
      <alignment horizontal="right"/>
      <protection locked="0"/>
    </xf>
    <xf numFmtId="164" fontId="12" fillId="37" borderId="23" xfId="105" applyNumberFormat="1" applyFont="1" applyFill="1" applyBorder="1" applyAlignment="1" applyProtection="1">
      <alignment horizontal="center"/>
      <protection locked="0"/>
    </xf>
    <xf numFmtId="2" fontId="2" fillId="37" borderId="24" xfId="105" applyNumberFormat="1" applyFont="1" applyFill="1" applyBorder="1" applyAlignment="1" applyProtection="1">
      <alignment horizontal="center"/>
      <protection locked="0"/>
    </xf>
    <xf numFmtId="164" fontId="12" fillId="37" borderId="24" xfId="105" applyNumberFormat="1" applyFont="1" applyFill="1" applyBorder="1" applyAlignment="1" applyProtection="1">
      <alignment horizontal="center"/>
      <protection locked="0"/>
    </xf>
    <xf numFmtId="164" fontId="12" fillId="37" borderId="20" xfId="105" applyNumberFormat="1" applyFont="1" applyFill="1" applyBorder="1" applyAlignment="1" applyProtection="1">
      <alignment horizontal="center"/>
      <protection/>
    </xf>
    <xf numFmtId="0" fontId="2" fillId="0" borderId="23" xfId="105" applyFont="1" applyBorder="1">
      <alignment/>
      <protection/>
    </xf>
    <xf numFmtId="0" fontId="2" fillId="0" borderId="24" xfId="105" applyFont="1" applyBorder="1">
      <alignment/>
      <protection/>
    </xf>
    <xf numFmtId="0" fontId="2" fillId="0" borderId="21" xfId="105" applyFont="1" applyBorder="1">
      <alignment/>
      <protection/>
    </xf>
    <xf numFmtId="0" fontId="12" fillId="37" borderId="19" xfId="105" applyFont="1" applyFill="1" applyBorder="1" applyAlignment="1" applyProtection="1">
      <alignment horizontal="center"/>
      <protection/>
    </xf>
    <xf numFmtId="0" fontId="2" fillId="0" borderId="25" xfId="105" applyFont="1" applyBorder="1">
      <alignment/>
      <protection/>
    </xf>
    <xf numFmtId="2" fontId="12" fillId="37" borderId="19" xfId="105" applyNumberFormat="1" applyFont="1" applyFill="1" applyBorder="1" applyAlignment="1" applyProtection="1">
      <alignment horizontal="center"/>
      <protection/>
    </xf>
    <xf numFmtId="0" fontId="2" fillId="0" borderId="22" xfId="105" applyFont="1" applyBorder="1">
      <alignment/>
      <protection/>
    </xf>
    <xf numFmtId="0" fontId="2" fillId="37" borderId="19" xfId="105" applyFont="1" applyFill="1" applyBorder="1" applyAlignment="1" applyProtection="1">
      <alignment horizontal="center"/>
      <protection/>
    </xf>
    <xf numFmtId="0" fontId="2" fillId="0" borderId="26" xfId="105" applyFont="1" applyBorder="1">
      <alignment/>
      <protection/>
    </xf>
    <xf numFmtId="2" fontId="2" fillId="37" borderId="19" xfId="105" applyNumberFormat="1" applyFont="1" applyFill="1" applyBorder="1" applyAlignment="1" applyProtection="1">
      <alignment horizontal="center"/>
      <protection locked="0"/>
    </xf>
    <xf numFmtId="0" fontId="2" fillId="37" borderId="19" xfId="105" applyFont="1" applyFill="1" applyBorder="1" applyAlignment="1" applyProtection="1">
      <alignment horizontal="center"/>
      <protection locked="0"/>
    </xf>
    <xf numFmtId="0" fontId="12" fillId="0" borderId="27" xfId="105" applyFont="1" applyBorder="1">
      <alignment/>
      <protection/>
    </xf>
    <xf numFmtId="0" fontId="2" fillId="0" borderId="28" xfId="105" applyFont="1" applyBorder="1">
      <alignment/>
      <protection/>
    </xf>
    <xf numFmtId="0" fontId="2" fillId="0" borderId="29" xfId="105" applyFont="1" applyBorder="1">
      <alignment/>
      <protection/>
    </xf>
    <xf numFmtId="0" fontId="2" fillId="0" borderId="30" xfId="105" applyFont="1" applyBorder="1">
      <alignment/>
      <protection/>
    </xf>
    <xf numFmtId="0" fontId="12" fillId="37" borderId="31" xfId="105" applyFont="1" applyFill="1" applyBorder="1" applyAlignment="1" applyProtection="1">
      <alignment horizontal="center"/>
      <protection/>
    </xf>
    <xf numFmtId="2" fontId="12" fillId="37" borderId="31" xfId="105" applyNumberFormat="1" applyFont="1" applyFill="1" applyBorder="1" applyAlignment="1" applyProtection="1">
      <alignment horizontal="center"/>
      <protection/>
    </xf>
    <xf numFmtId="0" fontId="2" fillId="0" borderId="31" xfId="105" applyFont="1" applyBorder="1">
      <alignment/>
      <protection/>
    </xf>
    <xf numFmtId="0" fontId="2" fillId="0" borderId="32" xfId="105" applyFont="1" applyBorder="1">
      <alignment/>
      <protection/>
    </xf>
    <xf numFmtId="0" fontId="2" fillId="0" borderId="33" xfId="105" applyFont="1" applyBorder="1">
      <alignment/>
      <protection/>
    </xf>
    <xf numFmtId="0" fontId="2" fillId="0" borderId="34" xfId="105" applyFont="1" applyBorder="1">
      <alignment/>
      <protection/>
    </xf>
    <xf numFmtId="0" fontId="2" fillId="37" borderId="24" xfId="105" applyFont="1" applyFill="1" applyBorder="1" applyAlignment="1" applyProtection="1">
      <alignment horizontal="center"/>
      <protection locked="0"/>
    </xf>
    <xf numFmtId="0" fontId="2" fillId="0" borderId="30" xfId="105" applyFont="1" applyFill="1" applyBorder="1" applyAlignment="1" applyProtection="1">
      <alignment horizontal="center"/>
      <protection/>
    </xf>
    <xf numFmtId="2" fontId="12" fillId="37" borderId="33" xfId="105" applyNumberFormat="1" applyFont="1" applyFill="1" applyBorder="1" applyAlignment="1" applyProtection="1">
      <alignment horizontal="center"/>
      <protection/>
    </xf>
    <xf numFmtId="0" fontId="12" fillId="0" borderId="25" xfId="105" applyFont="1" applyBorder="1" applyAlignment="1">
      <alignment horizontal="center"/>
      <protection/>
    </xf>
    <xf numFmtId="0" fontId="2" fillId="0" borderId="27" xfId="105" applyFont="1" applyBorder="1">
      <alignment/>
      <protection/>
    </xf>
    <xf numFmtId="2" fontId="2" fillId="37" borderId="19" xfId="105" applyNumberFormat="1" applyFont="1" applyFill="1" applyBorder="1" applyAlignment="1" applyProtection="1">
      <alignment horizontal="left"/>
      <protection locked="0"/>
    </xf>
    <xf numFmtId="0" fontId="2" fillId="37" borderId="30" xfId="105" applyFont="1" applyFill="1" applyBorder="1" applyAlignment="1" applyProtection="1">
      <alignment horizontal="center"/>
      <protection/>
    </xf>
    <xf numFmtId="0" fontId="12" fillId="37" borderId="30" xfId="105" applyFont="1" applyFill="1" applyBorder="1" applyAlignment="1" applyProtection="1">
      <alignment horizontal="center"/>
      <protection/>
    </xf>
    <xf numFmtId="0" fontId="2" fillId="37" borderId="31" xfId="105" applyFont="1" applyFill="1" applyBorder="1" applyAlignment="1" applyProtection="1">
      <alignment horizontal="center"/>
      <protection/>
    </xf>
    <xf numFmtId="0" fontId="12" fillId="37" borderId="33" xfId="105" applyFont="1" applyFill="1" applyBorder="1" applyAlignment="1" applyProtection="1">
      <alignment horizontal="center"/>
      <protection/>
    </xf>
    <xf numFmtId="0" fontId="12" fillId="0" borderId="28" xfId="105" applyFont="1" applyBorder="1">
      <alignment/>
      <protection/>
    </xf>
    <xf numFmtId="0" fontId="2" fillId="37" borderId="0" xfId="105" applyFont="1" applyFill="1" applyBorder="1" applyAlignment="1" applyProtection="1" quotePrefix="1">
      <alignment horizontal="center"/>
      <protection locked="0"/>
    </xf>
    <xf numFmtId="0" fontId="2" fillId="37" borderId="19" xfId="105" applyFont="1" applyFill="1" applyBorder="1" applyAlignment="1" applyProtection="1">
      <alignment horizontal="right"/>
      <protection/>
    </xf>
    <xf numFmtId="2" fontId="2" fillId="37" borderId="35" xfId="105" applyNumberFormat="1" applyFont="1" applyFill="1" applyBorder="1" applyAlignment="1" applyProtection="1">
      <alignment horizontal="center"/>
      <protection locked="0"/>
    </xf>
    <xf numFmtId="2" fontId="2" fillId="37" borderId="25" xfId="105" applyNumberFormat="1" applyFont="1" applyFill="1" applyBorder="1" applyAlignment="1" applyProtection="1">
      <alignment horizontal="center"/>
      <protection locked="0"/>
    </xf>
    <xf numFmtId="0" fontId="2" fillId="37" borderId="21" xfId="105" applyFont="1" applyFill="1" applyBorder="1" applyAlignment="1" applyProtection="1">
      <alignment horizontal="left"/>
      <protection locked="0"/>
    </xf>
    <xf numFmtId="0" fontId="2" fillId="0" borderId="26" xfId="105" applyFont="1" applyFill="1" applyBorder="1" applyAlignment="1" applyProtection="1">
      <alignment horizontal="center"/>
      <protection locked="0"/>
    </xf>
    <xf numFmtId="0" fontId="2" fillId="37" borderId="0" xfId="105" applyFont="1" applyFill="1" applyBorder="1" applyAlignment="1" applyProtection="1">
      <alignment horizontal="right"/>
      <protection locked="0"/>
    </xf>
    <xf numFmtId="2" fontId="2" fillId="37" borderId="0" xfId="105" applyNumberFormat="1" applyFont="1" applyFill="1" applyBorder="1" applyAlignment="1" applyProtection="1" quotePrefix="1">
      <alignment horizontal="left"/>
      <protection locked="0"/>
    </xf>
    <xf numFmtId="0" fontId="12" fillId="37" borderId="19" xfId="105" applyFont="1" applyFill="1" applyBorder="1" applyAlignment="1" applyProtection="1" quotePrefix="1">
      <alignment horizontal="center"/>
      <protection locked="0"/>
    </xf>
    <xf numFmtId="0" fontId="2" fillId="0" borderId="22" xfId="105" applyFont="1" applyFill="1" applyBorder="1" applyAlignment="1" applyProtection="1">
      <alignment horizontal="center"/>
      <protection/>
    </xf>
    <xf numFmtId="0" fontId="12" fillId="37" borderId="22" xfId="105" applyFont="1" applyFill="1" applyBorder="1" applyAlignment="1" applyProtection="1">
      <alignment horizontal="center"/>
      <protection/>
    </xf>
    <xf numFmtId="0" fontId="12" fillId="37" borderId="32" xfId="105" applyFont="1" applyFill="1" applyBorder="1" applyAlignment="1" applyProtection="1">
      <alignment horizontal="center"/>
      <protection/>
    </xf>
    <xf numFmtId="2" fontId="2" fillId="37" borderId="33" xfId="105" applyNumberFormat="1" applyFont="1" applyFill="1" applyBorder="1" applyAlignment="1" applyProtection="1">
      <alignment horizontal="center"/>
      <protection locked="0"/>
    </xf>
    <xf numFmtId="0" fontId="2" fillId="37" borderId="33" xfId="105" applyFont="1" applyFill="1" applyBorder="1" applyAlignment="1" applyProtection="1">
      <alignment horizontal="center"/>
      <protection locked="0"/>
    </xf>
    <xf numFmtId="0" fontId="2" fillId="37" borderId="33" xfId="105" applyFont="1" applyFill="1" applyBorder="1" applyAlignment="1" applyProtection="1">
      <alignment horizontal="center"/>
      <protection/>
    </xf>
    <xf numFmtId="0" fontId="2" fillId="37" borderId="34" xfId="105" applyFont="1" applyFill="1" applyBorder="1" applyAlignment="1" applyProtection="1">
      <alignment horizontal="center"/>
      <protection/>
    </xf>
    <xf numFmtId="0" fontId="2" fillId="37" borderId="36" xfId="105" applyFont="1" applyFill="1" applyBorder="1" applyAlignment="1" applyProtection="1">
      <alignment horizontal="center"/>
      <protection/>
    </xf>
    <xf numFmtId="2" fontId="2" fillId="37" borderId="36" xfId="105" applyNumberFormat="1" applyFont="1" applyFill="1" applyBorder="1" applyAlignment="1" applyProtection="1">
      <alignment horizontal="center"/>
      <protection/>
    </xf>
    <xf numFmtId="0" fontId="2" fillId="0" borderId="37" xfId="105" applyFont="1" applyBorder="1">
      <alignment/>
      <protection/>
    </xf>
    <xf numFmtId="2" fontId="7" fillId="0" borderId="19" xfId="105" applyNumberFormat="1" applyFont="1" applyFill="1" applyBorder="1" applyAlignment="1" applyProtection="1">
      <alignment horizontal="center"/>
      <protection/>
    </xf>
    <xf numFmtId="0" fontId="6" fillId="0" borderId="0" xfId="105" applyFont="1" applyBorder="1" applyAlignment="1" applyProtection="1">
      <alignment horizontal="left" vertical="top"/>
      <protection/>
    </xf>
    <xf numFmtId="0" fontId="7" fillId="0" borderId="0" xfId="105" applyFont="1" applyFill="1" applyBorder="1" applyAlignment="1" applyProtection="1">
      <alignment horizontal="left" vertical="center"/>
      <protection/>
    </xf>
    <xf numFmtId="0" fontId="5" fillId="0" borderId="0" xfId="105" applyFont="1" applyFill="1" applyBorder="1" applyAlignment="1" applyProtection="1">
      <alignment horizontal="left" vertical="center"/>
      <protection/>
    </xf>
    <xf numFmtId="0" fontId="5" fillId="0" borderId="0" xfId="105" applyFont="1" applyFill="1" applyBorder="1" applyAlignment="1" applyProtection="1">
      <alignment horizontal="center" vertical="center"/>
      <protection/>
    </xf>
    <xf numFmtId="0" fontId="7" fillId="0" borderId="0" xfId="105" applyFont="1" applyFill="1" applyBorder="1" applyAlignment="1" applyProtection="1">
      <alignment horizontal="center" vertical="center"/>
      <protection/>
    </xf>
    <xf numFmtId="0" fontId="6" fillId="0" borderId="0" xfId="105" applyFont="1" applyFill="1" applyBorder="1" applyAlignment="1" applyProtection="1">
      <alignment horizontal="left" vertical="center"/>
      <protection/>
    </xf>
    <xf numFmtId="0" fontId="8" fillId="0" borderId="0" xfId="105" applyFont="1" applyFill="1" applyBorder="1" applyAlignment="1" applyProtection="1">
      <alignment horizontal="center" vertical="center"/>
      <protection/>
    </xf>
    <xf numFmtId="0" fontId="6" fillId="0" borderId="0" xfId="105" applyFont="1" applyFill="1" applyBorder="1" applyAlignment="1" applyProtection="1">
      <alignment horizontal="center" vertical="center"/>
      <protection/>
    </xf>
    <xf numFmtId="0" fontId="2" fillId="0" borderId="0" xfId="105" applyAlignment="1" applyProtection="1">
      <alignment horizontal="left"/>
      <protection/>
    </xf>
    <xf numFmtId="0" fontId="2" fillId="0" borderId="0" xfId="105" applyAlignment="1" applyProtection="1">
      <alignment horizontal="center"/>
      <protection/>
    </xf>
    <xf numFmtId="0" fontId="5" fillId="0" borderId="0" xfId="105" applyFont="1" applyFill="1" applyBorder="1" applyAlignment="1" applyProtection="1">
      <alignment horizontal="left"/>
      <protection/>
    </xf>
    <xf numFmtId="0" fontId="5" fillId="0" borderId="0" xfId="105" applyFont="1" applyBorder="1" applyAlignment="1" applyProtection="1">
      <alignment horizontal="left"/>
      <protection/>
    </xf>
    <xf numFmtId="164" fontId="5" fillId="0" borderId="0" xfId="105" applyNumberFormat="1" applyFont="1" applyAlignment="1" applyProtection="1">
      <alignment horizontal="center"/>
      <protection/>
    </xf>
    <xf numFmtId="0" fontId="2" fillId="0" borderId="0" xfId="105" applyBorder="1" applyAlignment="1" applyProtection="1">
      <alignment horizontal="left"/>
      <protection/>
    </xf>
    <xf numFmtId="164" fontId="5" fillId="0" borderId="0" xfId="105" applyNumberFormat="1" applyFont="1" applyFill="1" applyAlignment="1" applyProtection="1">
      <alignment horizontal="center"/>
      <protection/>
    </xf>
    <xf numFmtId="0" fontId="11" fillId="0" borderId="0" xfId="105" applyFont="1" applyFill="1" applyAlignment="1" applyProtection="1">
      <alignment horizontal="left" vertical="top"/>
      <protection/>
    </xf>
    <xf numFmtId="0" fontId="2" fillId="0" borderId="0" xfId="105" applyFill="1" applyAlignment="1" applyProtection="1">
      <alignment horizontal="left"/>
      <protection/>
    </xf>
    <xf numFmtId="0" fontId="10" fillId="0" borderId="0" xfId="105" applyFont="1" applyAlignment="1" applyProtection="1">
      <alignment horizontal="left" vertical="top"/>
      <protection/>
    </xf>
    <xf numFmtId="0" fontId="11" fillId="0" borderId="0" xfId="105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105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4" fontId="5" fillId="0" borderId="0" xfId="105" applyNumberFormat="1" applyFont="1" applyAlignment="1" applyProtection="1">
      <alignment horizontal="left"/>
      <protection/>
    </xf>
    <xf numFmtId="0" fontId="5" fillId="0" borderId="0" xfId="105" applyFont="1" applyFill="1" applyBorder="1" applyAlignment="1" applyProtection="1">
      <alignment horizontal="center"/>
      <protection/>
    </xf>
    <xf numFmtId="0" fontId="5" fillId="0" borderId="19" xfId="105" applyFont="1" applyFill="1" applyBorder="1" applyAlignment="1" applyProtection="1">
      <alignment horizontal="left"/>
      <protection/>
    </xf>
    <xf numFmtId="2" fontId="5" fillId="0" borderId="19" xfId="105" applyNumberFormat="1" applyFont="1" applyFill="1" applyBorder="1" applyAlignment="1" applyProtection="1">
      <alignment horizontal="right" indent="1"/>
      <protection/>
    </xf>
    <xf numFmtId="0" fontId="5" fillId="0" borderId="19" xfId="105" applyFont="1" applyFill="1" applyBorder="1" applyAlignment="1" applyProtection="1">
      <alignment horizontal="center"/>
      <protection/>
    </xf>
    <xf numFmtId="164" fontId="7" fillId="0" borderId="0" xfId="105" applyNumberFormat="1" applyFont="1" applyAlignment="1" applyProtection="1">
      <alignment horizontal="left"/>
      <protection/>
    </xf>
    <xf numFmtId="164" fontId="81" fillId="0" borderId="0" xfId="105" applyNumberFormat="1" applyFont="1" applyAlignment="1" applyProtection="1">
      <alignment horizontal="center"/>
      <protection/>
    </xf>
    <xf numFmtId="0" fontId="2" fillId="0" borderId="0" xfId="105" applyFill="1" applyBorder="1" applyAlignment="1" applyProtection="1">
      <alignment horizontal="left"/>
      <protection/>
    </xf>
    <xf numFmtId="2" fontId="2" fillId="37" borderId="25" xfId="105" applyNumberFormat="1" applyFont="1" applyFill="1" applyBorder="1" applyAlignment="1" applyProtection="1">
      <alignment horizontal="center"/>
      <protection/>
    </xf>
    <xf numFmtId="0" fontId="12" fillId="37" borderId="19" xfId="105" applyFont="1" applyFill="1" applyBorder="1" applyAlignment="1" applyProtection="1">
      <alignment horizontal="center"/>
      <protection/>
    </xf>
    <xf numFmtId="2" fontId="12" fillId="37" borderId="19" xfId="105" applyNumberFormat="1" applyFont="1" applyFill="1" applyBorder="1" applyAlignment="1" applyProtection="1">
      <alignment horizontal="center"/>
      <protection/>
    </xf>
    <xf numFmtId="2" fontId="12" fillId="37" borderId="33" xfId="105" applyNumberFormat="1" applyFont="1" applyFill="1" applyBorder="1" applyAlignment="1" applyProtection="1">
      <alignment horizontal="center"/>
      <protection/>
    </xf>
    <xf numFmtId="0" fontId="81" fillId="49" borderId="0" xfId="105" applyFont="1" applyFill="1" applyAlignment="1" applyProtection="1">
      <alignment/>
      <protection locked="0"/>
    </xf>
    <xf numFmtId="2" fontId="5" fillId="49" borderId="0" xfId="105" applyNumberFormat="1" applyFont="1" applyFill="1" applyAlignment="1" applyProtection="1">
      <alignment horizontal="right"/>
      <protection locked="0"/>
    </xf>
    <xf numFmtId="0" fontId="2" fillId="0" borderId="28" xfId="105" applyFont="1" applyFill="1" applyBorder="1">
      <alignment/>
      <protection/>
    </xf>
    <xf numFmtId="0" fontId="2" fillId="0" borderId="28" xfId="105" applyFont="1" applyFill="1" applyBorder="1" applyAlignment="1" applyProtection="1">
      <alignment horizontal="center"/>
      <protection/>
    </xf>
    <xf numFmtId="0" fontId="12" fillId="37" borderId="28" xfId="105" applyFont="1" applyFill="1" applyBorder="1" applyAlignment="1" applyProtection="1">
      <alignment horizontal="center"/>
      <protection/>
    </xf>
    <xf numFmtId="2" fontId="12" fillId="37" borderId="28" xfId="105" applyNumberFormat="1" applyFont="1" applyFill="1" applyBorder="1" applyAlignment="1" applyProtection="1">
      <alignment horizontal="center"/>
      <protection/>
    </xf>
    <xf numFmtId="0" fontId="5" fillId="0" borderId="28" xfId="0" applyFont="1" applyBorder="1" applyAlignment="1">
      <alignment horizontal="center"/>
    </xf>
    <xf numFmtId="0" fontId="2" fillId="0" borderId="24" xfId="105" applyFont="1" applyBorder="1" applyAlignment="1">
      <alignment/>
      <protection/>
    </xf>
    <xf numFmtId="0" fontId="2" fillId="0" borderId="19" xfId="105" applyFont="1" applyBorder="1" applyAlignment="1">
      <alignment/>
      <protection/>
    </xf>
    <xf numFmtId="0" fontId="2" fillId="0" borderId="25" xfId="105" applyFont="1" applyBorder="1" applyAlignment="1">
      <alignment/>
      <protection/>
    </xf>
    <xf numFmtId="0" fontId="2" fillId="0" borderId="22" xfId="105" applyFont="1" applyBorder="1" applyAlignment="1">
      <alignment/>
      <protection/>
    </xf>
    <xf numFmtId="0" fontId="2" fillId="0" borderId="26" xfId="105" applyFont="1" applyBorder="1" applyAlignment="1">
      <alignment/>
      <protection/>
    </xf>
    <xf numFmtId="0" fontId="2" fillId="0" borderId="38" xfId="105" applyFill="1" applyBorder="1" applyAlignment="1" applyProtection="1">
      <alignment horizontal="left"/>
      <protection/>
    </xf>
    <xf numFmtId="0" fontId="6" fillId="0" borderId="39" xfId="105" applyFont="1" applyFill="1" applyBorder="1" applyAlignment="1" applyProtection="1">
      <alignment horizontal="right" vertical="center"/>
      <protection/>
    </xf>
    <xf numFmtId="0" fontId="4" fillId="0" borderId="39" xfId="105" applyFont="1" applyBorder="1" applyAlignment="1" applyProtection="1">
      <alignment horizontal="center" vertical="top"/>
      <protection/>
    </xf>
    <xf numFmtId="0" fontId="4" fillId="0" borderId="0" xfId="105" applyFont="1" applyBorder="1" applyAlignment="1" applyProtection="1">
      <alignment horizontal="center" vertical="top"/>
      <protection/>
    </xf>
    <xf numFmtId="164" fontId="5" fillId="0" borderId="0" xfId="105" applyNumberFormat="1" applyFont="1" applyBorder="1" applyAlignment="1" applyProtection="1">
      <alignment horizontal="center"/>
      <protection/>
    </xf>
    <xf numFmtId="0" fontId="5" fillId="0" borderId="39" xfId="105" applyFont="1" applyBorder="1" applyAlignment="1" applyProtection="1">
      <alignment horizontal="left" vertical="center"/>
      <protection/>
    </xf>
    <xf numFmtId="164" fontId="5" fillId="0" borderId="0" xfId="105" applyNumberFormat="1" applyFont="1" applyFill="1" applyBorder="1" applyAlignment="1" applyProtection="1">
      <alignment horizontal="center"/>
      <protection/>
    </xf>
    <xf numFmtId="0" fontId="5" fillId="0" borderId="39" xfId="105" applyFont="1" applyFill="1" applyBorder="1" applyAlignment="1" applyProtection="1">
      <alignment horizontal="left" vertical="center"/>
      <protection/>
    </xf>
    <xf numFmtId="0" fontId="6" fillId="0" borderId="39" xfId="105" applyFont="1" applyFill="1" applyBorder="1" applyAlignment="1" applyProtection="1">
      <alignment horizontal="left" vertical="center"/>
      <protection/>
    </xf>
    <xf numFmtId="0" fontId="2" fillId="0" borderId="39" xfId="105" applyBorder="1" applyAlignment="1" applyProtection="1">
      <alignment horizontal="left"/>
      <protection/>
    </xf>
    <xf numFmtId="0" fontId="5" fillId="0" borderId="39" xfId="105" applyFont="1" applyFill="1" applyBorder="1" applyAlignment="1" applyProtection="1">
      <alignment horizontal="left"/>
      <protection/>
    </xf>
    <xf numFmtId="0" fontId="2" fillId="0" borderId="39" xfId="105" applyFill="1" applyBorder="1" applyAlignment="1" applyProtection="1">
      <alignment horizontal="left"/>
      <protection/>
    </xf>
    <xf numFmtId="164" fontId="5" fillId="0" borderId="39" xfId="105" applyNumberFormat="1" applyFont="1" applyBorder="1" applyAlignment="1" applyProtection="1">
      <alignment horizontal="center"/>
      <protection/>
    </xf>
    <xf numFmtId="0" fontId="11" fillId="0" borderId="0" xfId="105" applyFont="1" applyFill="1" applyBorder="1" applyAlignment="1" applyProtection="1">
      <alignment horizontal="left" vertical="top"/>
      <protection/>
    </xf>
    <xf numFmtId="0" fontId="10" fillId="0" borderId="39" xfId="105" applyFont="1" applyBorder="1" applyAlignment="1" applyProtection="1">
      <alignment horizontal="left" vertical="top"/>
      <protection/>
    </xf>
    <xf numFmtId="0" fontId="11" fillId="0" borderId="0" xfId="105" applyFont="1" applyBorder="1" applyAlignment="1" applyProtection="1">
      <alignment horizontal="left" vertical="top"/>
      <protection/>
    </xf>
    <xf numFmtId="0" fontId="9" fillId="0" borderId="39" xfId="105" applyFont="1" applyBorder="1" applyAlignment="1" applyProtection="1">
      <alignment/>
      <protection/>
    </xf>
    <xf numFmtId="0" fontId="10" fillId="0" borderId="40" xfId="105" applyFont="1" applyBorder="1" applyAlignment="1" applyProtection="1">
      <alignment horizontal="left" vertical="top"/>
      <protection/>
    </xf>
    <xf numFmtId="0" fontId="11" fillId="0" borderId="41" xfId="105" applyFont="1" applyBorder="1" applyAlignment="1" applyProtection="1">
      <alignment horizontal="left" vertical="top"/>
      <protection/>
    </xf>
    <xf numFmtId="0" fontId="11" fillId="0" borderId="41" xfId="105" applyFont="1" applyFill="1" applyBorder="1" applyAlignment="1" applyProtection="1">
      <alignment horizontal="left" vertical="top"/>
      <protection/>
    </xf>
    <xf numFmtId="0" fontId="2" fillId="0" borderId="41" xfId="105" applyBorder="1" applyAlignment="1" applyProtection="1">
      <alignment horizontal="left"/>
      <protection/>
    </xf>
    <xf numFmtId="2" fontId="5" fillId="0" borderId="0" xfId="105" applyNumberFormat="1" applyFont="1" applyFill="1" applyBorder="1" applyAlignment="1" applyProtection="1">
      <alignment horizontal="right" vertical="center"/>
      <protection/>
    </xf>
    <xf numFmtId="0" fontId="2" fillId="0" borderId="0" xfId="105" applyFont="1" applyAlignment="1" applyProtection="1">
      <alignment horizontal="center"/>
      <protection/>
    </xf>
    <xf numFmtId="0" fontId="2" fillId="0" borderId="0" xfId="105" applyFont="1" applyAlignment="1" applyProtection="1">
      <alignment horizontal="left"/>
      <protection/>
    </xf>
    <xf numFmtId="169" fontId="2" fillId="0" borderId="0" xfId="105" applyNumberFormat="1" applyFont="1" applyAlignment="1" applyProtection="1">
      <alignment horizontal="center"/>
      <protection/>
    </xf>
    <xf numFmtId="164" fontId="7" fillId="0" borderId="0" xfId="105" applyNumberFormat="1" applyFont="1" applyAlignment="1" applyProtection="1">
      <alignment horizontal="center"/>
      <protection/>
    </xf>
    <xf numFmtId="2" fontId="2" fillId="0" borderId="0" xfId="105" applyNumberFormat="1" applyFill="1" applyAlignment="1" applyProtection="1">
      <alignment horizontal="right"/>
      <protection/>
    </xf>
    <xf numFmtId="2" fontId="5" fillId="0" borderId="0" xfId="105" applyNumberFormat="1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105" applyFont="1" applyAlignment="1" applyProtection="1">
      <alignment horizontal="center"/>
      <protection/>
    </xf>
    <xf numFmtId="0" fontId="5" fillId="0" borderId="0" xfId="105" applyFont="1" applyFill="1" applyAlignment="1" applyProtection="1">
      <alignment horizontal="left"/>
      <protection/>
    </xf>
    <xf numFmtId="2" fontId="2" fillId="0" borderId="42" xfId="105" applyNumberFormat="1" applyFill="1" applyBorder="1" applyAlignment="1" applyProtection="1">
      <alignment horizontal="right"/>
      <protection/>
    </xf>
    <xf numFmtId="2" fontId="2" fillId="0" borderId="43" xfId="105" applyNumberFormat="1" applyFill="1" applyBorder="1" applyAlignment="1" applyProtection="1">
      <alignment horizontal="right"/>
      <protection/>
    </xf>
    <xf numFmtId="2" fontId="5" fillId="0" borderId="43" xfId="105" applyNumberFormat="1" applyFont="1" applyFill="1" applyBorder="1" applyAlignment="1" applyProtection="1">
      <alignment horizontal="right"/>
      <protection/>
    </xf>
    <xf numFmtId="0" fontId="5" fillId="0" borderId="43" xfId="105" applyFont="1" applyFill="1" applyBorder="1" applyAlignment="1" applyProtection="1">
      <alignment horizontal="left"/>
      <protection/>
    </xf>
    <xf numFmtId="0" fontId="5" fillId="0" borderId="43" xfId="105" applyFont="1" applyBorder="1" applyAlignment="1" applyProtection="1">
      <alignment horizontal="left"/>
      <protection/>
    </xf>
    <xf numFmtId="0" fontId="2" fillId="0" borderId="43" xfId="105" applyFill="1" applyBorder="1" applyAlignment="1" applyProtection="1">
      <alignment horizontal="left"/>
      <protection/>
    </xf>
    <xf numFmtId="164" fontId="5" fillId="0" borderId="43" xfId="105" applyNumberFormat="1" applyFont="1" applyFill="1" applyBorder="1" applyAlignment="1" applyProtection="1">
      <alignment horizontal="center"/>
      <protection/>
    </xf>
    <xf numFmtId="2" fontId="2" fillId="0" borderId="44" xfId="105" applyNumberFormat="1" applyFill="1" applyBorder="1" applyAlignment="1" applyProtection="1">
      <alignment horizontal="right"/>
      <protection/>
    </xf>
    <xf numFmtId="0" fontId="2" fillId="0" borderId="45" xfId="105" applyFont="1" applyBorder="1">
      <alignment/>
      <protection/>
    </xf>
    <xf numFmtId="0" fontId="12" fillId="37" borderId="21" xfId="105" applyFont="1" applyFill="1" applyBorder="1" applyAlignment="1" applyProtection="1">
      <alignment horizontal="left"/>
      <protection/>
    </xf>
    <xf numFmtId="0" fontId="2" fillId="0" borderId="21" xfId="105" applyFont="1" applyBorder="1" applyAlignment="1">
      <alignment horizontal="left"/>
      <protection/>
    </xf>
    <xf numFmtId="0" fontId="2" fillId="0" borderId="36" xfId="105" applyFont="1" applyBorder="1">
      <alignment/>
      <protection/>
    </xf>
    <xf numFmtId="2" fontId="12" fillId="37" borderId="21" xfId="105" applyNumberFormat="1" applyFont="1" applyFill="1" applyBorder="1" applyAlignment="1" applyProtection="1">
      <alignment horizontal="center"/>
      <protection locked="0"/>
    </xf>
    <xf numFmtId="2" fontId="12" fillId="37" borderId="46" xfId="105" applyNumberFormat="1" applyFont="1" applyFill="1" applyBorder="1" applyAlignment="1" applyProtection="1">
      <alignment horizontal="center"/>
      <protection locked="0"/>
    </xf>
    <xf numFmtId="0" fontId="12" fillId="0" borderId="46" xfId="105" applyFont="1" applyFill="1" applyBorder="1" applyAlignment="1" applyProtection="1">
      <alignment horizontal="center"/>
      <protection locked="0"/>
    </xf>
    <xf numFmtId="0" fontId="12" fillId="37" borderId="46" xfId="105" applyFont="1" applyFill="1" applyBorder="1" applyAlignment="1" applyProtection="1">
      <alignment horizontal="center"/>
      <protection locked="0"/>
    </xf>
    <xf numFmtId="2" fontId="2" fillId="37" borderId="21" xfId="105" applyNumberFormat="1" applyFont="1" applyFill="1" applyBorder="1" applyAlignment="1" applyProtection="1">
      <alignment horizontal="center"/>
      <protection locked="0"/>
    </xf>
    <xf numFmtId="2" fontId="12" fillId="37" borderId="23" xfId="105" applyNumberFormat="1" applyFont="1" applyFill="1" applyBorder="1" applyAlignment="1" applyProtection="1">
      <alignment horizontal="center"/>
      <protection locked="0"/>
    </xf>
    <xf numFmtId="2" fontId="12" fillId="37" borderId="47" xfId="105" applyNumberFormat="1" applyFont="1" applyFill="1" applyBorder="1" applyAlignment="1" applyProtection="1">
      <alignment horizontal="left"/>
      <protection locked="0"/>
    </xf>
    <xf numFmtId="2" fontId="12" fillId="37" borderId="48" xfId="105" applyNumberFormat="1" applyFont="1" applyFill="1" applyBorder="1" applyAlignment="1" applyProtection="1">
      <alignment horizontal="left"/>
      <protection locked="0"/>
    </xf>
    <xf numFmtId="0" fontId="2" fillId="37" borderId="47" xfId="105" applyFont="1" applyFill="1" applyBorder="1" applyAlignment="1" applyProtection="1">
      <alignment horizontal="left"/>
      <protection locked="0"/>
    </xf>
    <xf numFmtId="2" fontId="2" fillId="37" borderId="49" xfId="105" applyNumberFormat="1" applyFont="1" applyFill="1" applyBorder="1" applyAlignment="1" applyProtection="1">
      <alignment horizontal="center"/>
      <protection locked="0"/>
    </xf>
    <xf numFmtId="0" fontId="2" fillId="37" borderId="49" xfId="105" applyFont="1" applyFill="1" applyBorder="1" applyAlignment="1" applyProtection="1">
      <alignment horizontal="left"/>
      <protection locked="0"/>
    </xf>
    <xf numFmtId="2" fontId="12" fillId="37" borderId="0" xfId="105" applyNumberFormat="1" applyFont="1" applyFill="1" applyBorder="1" applyAlignment="1" applyProtection="1">
      <alignment horizontal="left"/>
      <protection locked="0"/>
    </xf>
    <xf numFmtId="164" fontId="12" fillId="37" borderId="46" xfId="105" applyNumberFormat="1" applyFont="1" applyFill="1" applyBorder="1" applyAlignment="1" applyProtection="1">
      <alignment horizontal="center"/>
      <protection locked="0"/>
    </xf>
    <xf numFmtId="2" fontId="2" fillId="0" borderId="19" xfId="105" applyNumberFormat="1" applyFont="1" applyBorder="1" applyAlignment="1">
      <alignment/>
      <protection/>
    </xf>
    <xf numFmtId="2" fontId="2" fillId="0" borderId="19" xfId="105" applyNumberFormat="1" applyFont="1" applyBorder="1">
      <alignment/>
      <protection/>
    </xf>
    <xf numFmtId="0" fontId="12" fillId="37" borderId="21" xfId="105" applyFont="1" applyFill="1" applyBorder="1" applyAlignment="1" applyProtection="1" quotePrefix="1">
      <alignment horizontal="left"/>
      <protection/>
    </xf>
    <xf numFmtId="2" fontId="2" fillId="0" borderId="19" xfId="105" applyNumberFormat="1" applyFont="1" applyBorder="1" quotePrefix="1">
      <alignment/>
      <protection/>
    </xf>
    <xf numFmtId="2" fontId="12" fillId="37" borderId="0" xfId="105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24" xfId="0" applyNumberFormat="1" applyFont="1" applyFill="1" applyBorder="1" applyAlignment="1" applyProtection="1">
      <alignment horizontal="center"/>
      <protection/>
    </xf>
    <xf numFmtId="2" fontId="5" fillId="0" borderId="26" xfId="105" applyNumberFormat="1" applyFont="1" applyFill="1" applyBorder="1" applyAlignment="1" applyProtection="1">
      <alignment horizontal="right" indent="1"/>
      <protection/>
    </xf>
    <xf numFmtId="0" fontId="5" fillId="0" borderId="26" xfId="105" applyFont="1" applyFill="1" applyBorder="1" applyAlignment="1" applyProtection="1">
      <alignment horizontal="center"/>
      <protection/>
    </xf>
    <xf numFmtId="0" fontId="5" fillId="0" borderId="26" xfId="105" applyFont="1" applyFill="1" applyBorder="1" applyAlignment="1" applyProtection="1">
      <alignment horizontal="left"/>
      <protection/>
    </xf>
    <xf numFmtId="164" fontId="5" fillId="0" borderId="0" xfId="105" applyNumberFormat="1" applyFont="1" applyFill="1" applyBorder="1" applyAlignment="1" applyProtection="1">
      <alignment horizontal="left"/>
      <protection/>
    </xf>
    <xf numFmtId="2" fontId="2" fillId="0" borderId="0" xfId="105" applyNumberFormat="1" applyFont="1" applyFill="1" applyBorder="1" applyAlignment="1" applyProtection="1">
      <alignment horizontal="right" vertical="center" indent="1"/>
      <protection/>
    </xf>
    <xf numFmtId="0" fontId="5" fillId="0" borderId="0" xfId="105" applyFont="1" applyFill="1" applyBorder="1" applyAlignment="1" applyProtection="1">
      <alignment horizontal="right"/>
      <protection/>
    </xf>
    <xf numFmtId="0" fontId="43" fillId="0" borderId="0" xfId="105" applyFont="1" applyFill="1" applyBorder="1" applyAlignment="1" applyProtection="1">
      <alignment horizontal="left"/>
      <protection/>
    </xf>
    <xf numFmtId="2" fontId="6" fillId="0" borderId="0" xfId="105" applyNumberFormat="1" applyFont="1" applyFill="1" applyBorder="1" applyAlignment="1" applyProtection="1">
      <alignment horizontal="left" vertical="center"/>
      <protection/>
    </xf>
    <xf numFmtId="0" fontId="79" fillId="0" borderId="0" xfId="0" applyFont="1" applyAlignment="1">
      <alignment vertical="center"/>
    </xf>
    <xf numFmtId="0" fontId="73" fillId="0" borderId="0" xfId="100" applyAlignment="1">
      <alignment vertical="center"/>
    </xf>
    <xf numFmtId="0" fontId="0" fillId="0" borderId="0" xfId="0" applyAlignment="1">
      <alignment/>
    </xf>
    <xf numFmtId="0" fontId="0" fillId="0" borderId="43" xfId="0" applyBorder="1" applyAlignment="1">
      <alignment/>
    </xf>
    <xf numFmtId="2" fontId="2" fillId="0" borderId="0" xfId="105" applyNumberFormat="1" applyFont="1" applyFill="1" applyBorder="1" applyAlignment="1" applyProtection="1">
      <alignment horizontal="right" vertical="center"/>
      <protection/>
    </xf>
    <xf numFmtId="2" fontId="5" fillId="0" borderId="26" xfId="105" applyNumberFormat="1" applyFont="1" applyFill="1" applyBorder="1" applyAlignment="1" applyProtection="1">
      <alignment horizontal="right"/>
      <protection/>
    </xf>
    <xf numFmtId="2" fontId="5" fillId="0" borderId="19" xfId="105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/>
    </xf>
    <xf numFmtId="0" fontId="6" fillId="50" borderId="50" xfId="105" applyFont="1" applyFill="1" applyBorder="1" applyAlignment="1" applyProtection="1">
      <alignment horizontal="center" vertical="center"/>
      <protection/>
    </xf>
    <xf numFmtId="0" fontId="7" fillId="0" borderId="51" xfId="105" applyFont="1" applyBorder="1" applyAlignment="1" applyProtection="1">
      <alignment horizontal="left" vertical="center"/>
      <protection/>
    </xf>
    <xf numFmtId="2" fontId="5" fillId="19" borderId="20" xfId="105" applyNumberFormat="1" applyFont="1" applyFill="1" applyBorder="1" applyAlignment="1" applyProtection="1">
      <alignment horizontal="right" vertical="center" indent="1"/>
      <protection locked="0"/>
    </xf>
    <xf numFmtId="2" fontId="5" fillId="51" borderId="20" xfId="105" applyNumberFormat="1" applyFont="1" applyFill="1" applyBorder="1" applyAlignment="1" applyProtection="1">
      <alignment horizontal="right" vertical="center" indent="1"/>
      <protection/>
    </xf>
    <xf numFmtId="0" fontId="6" fillId="0" borderId="51" xfId="105" applyFont="1" applyBorder="1" applyAlignment="1" applyProtection="1">
      <alignment horizontal="left" vertical="center"/>
      <protection/>
    </xf>
    <xf numFmtId="0" fontId="6" fillId="0" borderId="41" xfId="105" applyFont="1" applyBorder="1" applyAlignment="1" applyProtection="1">
      <alignment horizontal="right" vertical="center" indent="1"/>
      <protection/>
    </xf>
    <xf numFmtId="0" fontId="0" fillId="0" borderId="0" xfId="0" applyFont="1" applyAlignment="1">
      <alignment horizontal="left" vertical="center" indent="3"/>
    </xf>
    <xf numFmtId="0" fontId="7" fillId="0" borderId="20" xfId="105" applyFont="1" applyBorder="1" applyAlignment="1" applyProtection="1">
      <alignment horizontal="center" vertical="center"/>
      <protection/>
    </xf>
    <xf numFmtId="0" fontId="5" fillId="0" borderId="52" xfId="105" applyFont="1" applyBorder="1" applyAlignment="1" applyProtection="1">
      <alignment horizontal="left"/>
      <protection/>
    </xf>
    <xf numFmtId="0" fontId="6" fillId="0" borderId="52" xfId="105" applyFont="1" applyBorder="1" applyAlignment="1" applyProtection="1">
      <alignment horizontal="right" vertical="center" indent="1"/>
      <protection/>
    </xf>
    <xf numFmtId="0" fontId="6" fillId="0" borderId="0" xfId="105" applyFont="1" applyBorder="1" applyAlignment="1" applyProtection="1">
      <alignment horizontal="right"/>
      <protection/>
    </xf>
    <xf numFmtId="0" fontId="7" fillId="0" borderId="0" xfId="10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2" fontId="7" fillId="0" borderId="49" xfId="105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9" xfId="0" applyBorder="1" applyAlignment="1">
      <alignment wrapText="1"/>
    </xf>
    <xf numFmtId="0" fontId="0" fillId="0" borderId="0" xfId="0" applyAlignment="1">
      <alignment wrapText="1"/>
    </xf>
    <xf numFmtId="0" fontId="0" fillId="0" borderId="53" xfId="0" applyBorder="1" applyAlignment="1">
      <alignment wrapText="1"/>
    </xf>
    <xf numFmtId="49" fontId="6" fillId="52" borderId="54" xfId="105" applyNumberFormat="1" applyFont="1" applyFill="1" applyBorder="1" applyAlignment="1" applyProtection="1">
      <alignment horizontal="left" vertical="center" indent="1"/>
      <protection locked="0"/>
    </xf>
    <xf numFmtId="49" fontId="0" fillId="52" borderId="54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105" applyFont="1" applyAlignment="1" applyProtection="1">
      <alignment horizontal="left" vertical="top" wrapText="1"/>
      <protection/>
    </xf>
    <xf numFmtId="0" fontId="79" fillId="0" borderId="0" xfId="0" applyFont="1" applyAlignment="1">
      <alignment vertical="top" wrapText="1"/>
    </xf>
    <xf numFmtId="2" fontId="6" fillId="0" borderId="0" xfId="105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left" vertical="top" wrapText="1"/>
      <protection/>
    </xf>
    <xf numFmtId="2" fontId="82" fillId="0" borderId="0" xfId="105" applyNumberFormat="1" applyFont="1" applyFill="1" applyBorder="1" applyAlignment="1" applyProtection="1">
      <alignment horizontal="center" vertical="center"/>
      <protection/>
    </xf>
    <xf numFmtId="0" fontId="7" fillId="0" borderId="55" xfId="10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4" fillId="0" borderId="0" xfId="105" applyFont="1" applyBorder="1" applyAlignment="1" applyProtection="1">
      <alignment horizontal="center" vertical="center"/>
      <protection/>
    </xf>
    <xf numFmtId="0" fontId="7" fillId="0" borderId="0" xfId="105" applyFont="1" applyFill="1" applyBorder="1" applyAlignment="1" applyProtection="1">
      <alignment horizontal="left" vertical="top" wrapText="1"/>
      <protection/>
    </xf>
    <xf numFmtId="0" fontId="3" fillId="0" borderId="52" xfId="105" applyFont="1" applyBorder="1" applyAlignment="1" applyProtection="1">
      <alignment horizontal="center"/>
      <protection/>
    </xf>
    <xf numFmtId="0" fontId="3" fillId="0" borderId="0" xfId="105" applyFont="1" applyBorder="1" applyAlignment="1" applyProtection="1">
      <alignment horizontal="center"/>
      <protection/>
    </xf>
    <xf numFmtId="0" fontId="12" fillId="53" borderId="56" xfId="105" applyFont="1" applyFill="1" applyBorder="1" applyAlignment="1">
      <alignment horizontal="center"/>
      <protection/>
    </xf>
    <xf numFmtId="0" fontId="79" fillId="53" borderId="57" xfId="0" applyFont="1" applyFill="1" applyBorder="1" applyAlignment="1">
      <alignment horizontal="center"/>
    </xf>
    <xf numFmtId="0" fontId="12" fillId="37" borderId="19" xfId="105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/>
    </xf>
    <xf numFmtId="0" fontId="7" fillId="0" borderId="51" xfId="105" applyFont="1" applyBorder="1" applyAlignment="1" applyProtection="1">
      <alignment horizontal="left"/>
      <protection/>
    </xf>
    <xf numFmtId="0" fontId="79" fillId="0" borderId="58" xfId="0" applyFont="1" applyBorder="1" applyAlignment="1">
      <alignment horizontal="left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40% - アクセント 1" xfId="45"/>
    <cellStyle name="40% - アクセント 2" xfId="46"/>
    <cellStyle name="40% - アクセント 3" xfId="47"/>
    <cellStyle name="40% - アクセント 4" xfId="48"/>
    <cellStyle name="40% - アクセント 5" xfId="49"/>
    <cellStyle name="40% - アクセント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60% - アクセント 1" xfId="63"/>
    <cellStyle name="60% - アクセント 2" xfId="64"/>
    <cellStyle name="60% - アクセント 3" xfId="65"/>
    <cellStyle name="60% - アクセント 4" xfId="66"/>
    <cellStyle name="60% - アクセント 5" xfId="67"/>
    <cellStyle name="60% - アクセント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elda de comprobación" xfId="79"/>
    <cellStyle name="Celda vinculada" xfId="80"/>
    <cellStyle name="Check Cell" xfId="81"/>
    <cellStyle name="Comma" xfId="82"/>
    <cellStyle name="Comma [0]" xfId="83"/>
    <cellStyle name="Currency" xfId="84"/>
    <cellStyle name="Currency [0]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correcto" xfId="101"/>
    <cellStyle name="Input" xfId="102"/>
    <cellStyle name="Linked Cell" xfId="103"/>
    <cellStyle name="Neutral" xfId="104"/>
    <cellStyle name="Normal 2" xfId="105"/>
    <cellStyle name="Normal 2 2" xfId="106"/>
    <cellStyle name="Normal 3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ítulo_Lang Boat" xfId="120"/>
    <cellStyle name="Total" xfId="121"/>
    <cellStyle name="Warning Text" xfId="122"/>
    <cellStyle name="アクセント 1" xfId="123"/>
    <cellStyle name="アクセント 2" xfId="124"/>
    <cellStyle name="アクセント 3" xfId="125"/>
    <cellStyle name="アクセント 4" xfId="126"/>
    <cellStyle name="アクセント 5" xfId="127"/>
    <cellStyle name="アクセント 6" xfId="128"/>
    <cellStyle name="タイトル" xfId="129"/>
    <cellStyle name="チェック セル" xfId="130"/>
    <cellStyle name="どちらでもない" xfId="131"/>
    <cellStyle name="メモ" xfId="132"/>
    <cellStyle name="リンク セル" xfId="133"/>
    <cellStyle name="入力" xfId="134"/>
    <cellStyle name="出力" xfId="135"/>
    <cellStyle name="悪い" xfId="136"/>
    <cellStyle name="良い" xfId="137"/>
    <cellStyle name="見出し 1" xfId="138"/>
    <cellStyle name="見出し 2" xfId="139"/>
    <cellStyle name="見出し 3" xfId="140"/>
    <cellStyle name="見出し 4" xfId="141"/>
    <cellStyle name="計算" xfId="142"/>
    <cellStyle name="説明文" xfId="143"/>
    <cellStyle name="警告文" xfId="144"/>
    <cellStyle name="集計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15"/>
          <c:w val="0.971"/>
          <c:h val="0.97325"/>
        </c:manualLayout>
      </c:layout>
      <c:scatterChart>
        <c:scatterStyle val="smoothMarker"/>
        <c:varyColors val="0"/>
        <c:ser>
          <c:idx val="0"/>
          <c:order val="0"/>
          <c:tx>
            <c:v>Dummy Hor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'Calcs-1'!$M$16:$M$17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'Calcs-1'!$N$16:$N$17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Dummy Vert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'Calcs-1'!$M$18:$M$19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'Calcs-1'!$N$18:$N$19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'Calcs-1'!$G$20</c:f>
              <c:strCache>
                <c:ptCount val="1"/>
                <c:pt idx="0">
                  <c:v>SLU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'Calcs-1'!$I$20:$I$21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'Calcs-1'!$J$20:$J$21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'Calcs-1'!$G$22</c:f>
              <c:strCache>
                <c:ptCount val="1"/>
                <c:pt idx="0">
                  <c:v>SLE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'Calcs-1'!$I$22:$I$23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'Calcs-1'!$J$22:$J$23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'Calcs-1'!$G$24</c:f>
              <c:strCache>
                <c:ptCount val="1"/>
                <c:pt idx="0">
                  <c:v>SHW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'Calcs-1'!$I$24:$I$25</c:f>
              <c:numCache>
                <c:ptCount val="2"/>
                <c:pt idx="0">
                  <c:v>0</c:v>
                </c:pt>
                <c:pt idx="1">
                  <c:v>#N/A</c:v>
                </c:pt>
              </c:numCache>
            </c:numRef>
          </c:xVal>
          <c:yVal>
            <c:numRef>
              <c:f>'Calcs-1'!$J$24:$J$25</c:f>
              <c:numCache>
                <c:ptCount val="2"/>
                <c:pt idx="0">
                  <c:v>0</c:v>
                </c:pt>
                <c:pt idx="1">
                  <c:v>#N/A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'Calcs-1'!$G$26</c:f>
              <c:strCache>
                <c:ptCount val="1"/>
                <c:pt idx="0">
                  <c:v>SF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'Calcs-1'!$I$26:$I$27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'Calcs-1'!$J$26:$J$27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6"/>
          <c:tx>
            <c:v>Luff-Leech-Foot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'Calcs-1'!$I$9:$I$18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'Calcs-1'!$J$9:$J$18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7"/>
          <c:tx>
            <c:v>Half Width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'Calcs-1'!$I$46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'Calcs-1'!$J$46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'Calcs-1'!$G$48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'Calcs-1'!$I$50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'Calcs-1'!$J$50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'Calcs-1'!$G$32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'Calcs-1'!$I$34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'Calcs-1'!$J$34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10"/>
          <c:tx>
            <c:strRef>
              <c:f>'Calcs-1'!$G$37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'Calcs-1'!$I$39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'Calcs-1'!$J$39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LuffTopTick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'Calcs-1'!$I$55:$I$56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'Calcs-1'!$J$55:$J$56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LuffBotTick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'Calcs-1'!$I$57:$I$58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'Calcs-1'!$J$57:$J$58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LeechTickTop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'Calcs-1'!$I$62:$I$63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'Calcs-1'!$J$62:$J$63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LeechTickBot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'Calcs-1'!$I$64:$I$65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'Calcs-1'!$J$64:$J$65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FootTickLeft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'Calcs-1'!$I$69:$I$70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'Calcs-1'!$J$69:$J$70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v>FootTickRight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'Calcs-1'!$I$71:$I$72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'Calcs-1'!$J$71:$J$72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891446"/>
        <c:axId val="62023015"/>
      </c:scatterChart>
      <c:valAx>
        <c:axId val="6891446"/>
        <c:scaling>
          <c:orientation val="maxMin"/>
        </c:scaling>
        <c:axPos val="b"/>
        <c:delete val="1"/>
        <c:majorTickMark val="out"/>
        <c:minorTickMark val="none"/>
        <c:tickLblPos val="nextTo"/>
        <c:crossAx val="62023015"/>
        <c:crosses val="autoZero"/>
        <c:crossBetween val="midCat"/>
        <c:dispUnits/>
        <c:majorUnit val="0.5"/>
      </c:valAx>
      <c:valAx>
        <c:axId val="62023015"/>
        <c:scaling>
          <c:orientation val="minMax"/>
        </c:scaling>
        <c:axPos val="r"/>
        <c:delete val="1"/>
        <c:majorTickMark val="out"/>
        <c:minorTickMark val="none"/>
        <c:tickLblPos val="nextTo"/>
        <c:crossAx val="6891446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38100</xdr:rowOff>
    </xdr:from>
    <xdr:to>
      <xdr:col>14</xdr:col>
      <xdr:colOff>0</xdr:colOff>
      <xdr:row>60</xdr:row>
      <xdr:rowOff>76200</xdr:rowOff>
    </xdr:to>
    <xdr:graphicFrame>
      <xdr:nvGraphicFramePr>
        <xdr:cNvPr id="1" name="Chart 7227"/>
        <xdr:cNvGraphicFramePr/>
      </xdr:nvGraphicFramePr>
      <xdr:xfrm>
        <a:off x="609600" y="3228975"/>
        <a:ext cx="68865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9525</xdr:rowOff>
    </xdr:from>
    <xdr:to>
      <xdr:col>14</xdr:col>
      <xdr:colOff>0</xdr:colOff>
      <xdr:row>1</xdr:row>
      <xdr:rowOff>228600</xdr:rowOff>
    </xdr:to>
    <xdr:grpSp>
      <xdr:nvGrpSpPr>
        <xdr:cNvPr id="2" name="Group 1"/>
        <xdr:cNvGrpSpPr>
          <a:grpSpLocks/>
        </xdr:cNvGrpSpPr>
      </xdr:nvGrpSpPr>
      <xdr:grpSpPr>
        <a:xfrm>
          <a:off x="619125" y="9525"/>
          <a:ext cx="6877050" cy="457200"/>
          <a:chOff x="8620125" y="47625"/>
          <a:chExt cx="6877050" cy="45720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20125" y="476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39851" y="476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offshore@ussailing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S75"/>
  <sheetViews>
    <sheetView showGridLines="0" tabSelected="1" zoomScalePageLayoutView="0" workbookViewId="0" topLeftCell="A1">
      <selection activeCell="E5" sqref="E5:G5"/>
    </sheetView>
  </sheetViews>
  <sheetFormatPr defaultColWidth="9.140625" defaultRowHeight="12"/>
  <cols>
    <col min="1" max="1" width="9.140625" style="91" customWidth="1"/>
    <col min="2" max="2" width="1.421875" style="91" customWidth="1"/>
    <col min="3" max="3" width="7.140625" style="91" customWidth="1"/>
    <col min="4" max="4" width="9.00390625" style="91" customWidth="1"/>
    <col min="5" max="7" width="8.57421875" style="91" customWidth="1"/>
    <col min="8" max="8" width="3.00390625" style="91" customWidth="1"/>
    <col min="9" max="9" width="24.7109375" style="91" customWidth="1"/>
    <col min="10" max="10" width="6.28125" style="91" customWidth="1"/>
    <col min="11" max="12" width="11.421875" style="99" customWidth="1"/>
    <col min="13" max="13" width="1.7109375" style="91" customWidth="1"/>
    <col min="14" max="14" width="1.421875" style="155" customWidth="1"/>
    <col min="15" max="15" width="4.57421875" style="155" customWidth="1"/>
    <col min="16" max="16" width="4.57421875" style="91" customWidth="1"/>
    <col min="17" max="17" width="1.421875" style="91" customWidth="1"/>
    <col min="18" max="19" width="9.28125" style="92" hidden="1" customWidth="1"/>
    <col min="20" max="20" width="3.57421875" style="92" customWidth="1"/>
    <col min="21" max="21" width="11.8515625" style="151" customWidth="1"/>
    <col min="22" max="22" width="13.00390625" style="151" customWidth="1"/>
    <col min="23" max="24" width="11.8515625" style="151" customWidth="1"/>
    <col min="25" max="25" width="16.7109375" style="151" customWidth="1"/>
    <col min="26" max="29" width="11.8515625" style="151" customWidth="1"/>
    <col min="30" max="36" width="11.8515625" style="152" customWidth="1"/>
    <col min="37" max="71" width="9.140625" style="91" customWidth="1"/>
    <col min="72" max="16384" width="9.140625" style="1" customWidth="1"/>
  </cols>
  <sheetData>
    <row r="1" spans="2:22" ht="18.75" customHeight="1">
      <c r="B1" s="129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62"/>
      <c r="Q1" s="4"/>
      <c r="S1" s="117">
        <v>1</v>
      </c>
      <c r="V1" s="4"/>
    </row>
    <row r="2" spans="2:29" ht="18.75" customHeight="1">
      <c r="B2" s="130"/>
      <c r="C2" s="246" t="s">
        <v>117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63"/>
      <c r="S2" s="102"/>
      <c r="AC2" s="153"/>
    </row>
    <row r="3" spans="2:29" ht="18.75" customHeight="1">
      <c r="B3" s="130"/>
      <c r="C3" s="243" t="s">
        <v>120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63"/>
      <c r="S3" s="102"/>
      <c r="AC3" s="153"/>
    </row>
    <row r="4" spans="2:38" ht="15" customHeight="1">
      <c r="B4" s="130"/>
      <c r="C4" s="96"/>
      <c r="D4" s="96"/>
      <c r="E4" s="96"/>
      <c r="F4" s="96"/>
      <c r="G4" s="96"/>
      <c r="H4" s="132"/>
      <c r="I4" s="94"/>
      <c r="J4" s="94"/>
      <c r="K4" s="212" t="str">
        <f>IF($S$1=1,"Meters","Feet")</f>
        <v>Meters</v>
      </c>
      <c r="L4" s="212" t="str">
        <f>IF($S$1=2,"Meters","Feet")</f>
        <v>Feet</v>
      </c>
      <c r="M4" s="112"/>
      <c r="N4" s="163"/>
      <c r="R4" s="103"/>
      <c r="U4" s="201" t="s">
        <v>107</v>
      </c>
      <c r="V4" s="210"/>
      <c r="W4" s="210"/>
      <c r="X4" s="210"/>
      <c r="Y4" s="210"/>
      <c r="Z4" s="192"/>
      <c r="AA4" s="192"/>
      <c r="AB4" s="192"/>
      <c r="AC4" s="192"/>
      <c r="AD4" s="192"/>
      <c r="AE4" s="192"/>
      <c r="AF4" s="192"/>
      <c r="AG4" s="192"/>
      <c r="AH4" s="192"/>
      <c r="AI4" s="104"/>
      <c r="AJ4" s="104"/>
      <c r="AK4" s="104"/>
      <c r="AL4" s="94"/>
    </row>
    <row r="5" spans="1:71" s="2" customFormat="1" ht="15" customHeight="1" thickBot="1">
      <c r="A5" s="3"/>
      <c r="B5" s="131"/>
      <c r="C5" s="222" t="s">
        <v>64</v>
      </c>
      <c r="D5" s="222"/>
      <c r="E5" s="233"/>
      <c r="F5" s="234"/>
      <c r="G5" s="234"/>
      <c r="H5" s="87"/>
      <c r="I5" s="213" t="s">
        <v>77</v>
      </c>
      <c r="J5" s="219" t="s">
        <v>2</v>
      </c>
      <c r="K5" s="214"/>
      <c r="L5" s="215">
        <f>IF(K5&gt;0,IF($S$1=1,K5/0.3048,K5*0.3048),"")</f>
      </c>
      <c r="M5" s="94"/>
      <c r="N5" s="164"/>
      <c r="O5" s="156"/>
      <c r="P5" s="3"/>
      <c r="Q5" s="3"/>
      <c r="R5" s="118">
        <f aca="true" t="shared" si="0" ref="R5:S8">ROUND(K5,2)</f>
        <v>0</v>
      </c>
      <c r="S5" s="118" t="e">
        <f t="shared" si="0"/>
        <v>#VALUE!</v>
      </c>
      <c r="T5" s="105"/>
      <c r="U5" s="202"/>
      <c r="V5" s="93"/>
      <c r="W5" s="93"/>
      <c r="X5" s="93"/>
      <c r="Y5" s="93"/>
      <c r="Z5" s="198"/>
      <c r="AA5" s="198"/>
      <c r="AB5" s="198"/>
      <c r="AC5" s="198"/>
      <c r="AD5" s="198"/>
      <c r="AE5" s="198"/>
      <c r="AF5" s="198"/>
      <c r="AG5" s="193"/>
      <c r="AH5" s="193"/>
      <c r="AI5" s="157"/>
      <c r="AJ5" s="157"/>
      <c r="AK5" s="157"/>
      <c r="AL5" s="9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s="11" customFormat="1" ht="15" customHeight="1" thickBot="1">
      <c r="A6" s="93"/>
      <c r="B6" s="137"/>
      <c r="C6" s="222" t="s">
        <v>65</v>
      </c>
      <c r="D6" s="222"/>
      <c r="E6" s="233"/>
      <c r="F6" s="234"/>
      <c r="G6" s="234"/>
      <c r="H6" s="87"/>
      <c r="I6" s="216" t="s">
        <v>78</v>
      </c>
      <c r="J6" s="219" t="s">
        <v>3</v>
      </c>
      <c r="K6" s="214"/>
      <c r="L6" s="215">
        <f>IF(K6&gt;0,IF($S$1=1,K6/0.3048,K6*0.3048),"")</f>
      </c>
      <c r="M6" s="133"/>
      <c r="N6" s="165"/>
      <c r="O6" s="93"/>
      <c r="P6" s="93"/>
      <c r="Q6" s="93"/>
      <c r="R6" s="118">
        <f t="shared" si="0"/>
        <v>0</v>
      </c>
      <c r="S6" s="118" t="e">
        <f t="shared" si="0"/>
        <v>#VALUE!</v>
      </c>
      <c r="T6" s="106"/>
      <c r="U6" s="244" t="s">
        <v>114</v>
      </c>
      <c r="V6" s="236"/>
      <c r="W6" s="236"/>
      <c r="X6" s="236"/>
      <c r="Y6" s="236"/>
      <c r="Z6" s="207"/>
      <c r="AA6" s="199"/>
      <c r="AB6" s="199"/>
      <c r="AC6" s="199"/>
      <c r="AD6" s="199"/>
      <c r="AE6" s="199"/>
      <c r="AF6" s="199"/>
      <c r="AG6" s="199"/>
      <c r="AH6" s="199"/>
      <c r="AI6" s="158"/>
      <c r="AJ6" s="158"/>
      <c r="AK6" s="158"/>
      <c r="AL6" s="159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</row>
    <row r="7" spans="1:71" s="2" customFormat="1" ht="15" customHeight="1" thickBot="1">
      <c r="A7" s="3"/>
      <c r="B7" s="134"/>
      <c r="C7" s="222" t="s">
        <v>66</v>
      </c>
      <c r="D7" s="222"/>
      <c r="E7" s="233"/>
      <c r="F7" s="234"/>
      <c r="G7" s="234"/>
      <c r="H7" s="87"/>
      <c r="I7" s="216" t="s">
        <v>4</v>
      </c>
      <c r="J7" s="219" t="s">
        <v>5</v>
      </c>
      <c r="K7" s="214"/>
      <c r="L7" s="215">
        <f>IF(K7&gt;0,IF($S$1=1,K7/0.3048,K7*0.3048),"")</f>
      </c>
      <c r="M7" s="133"/>
      <c r="N7" s="166"/>
      <c r="O7" s="3"/>
      <c r="P7" s="3"/>
      <c r="Q7" s="110"/>
      <c r="R7" s="118">
        <f t="shared" si="0"/>
        <v>0</v>
      </c>
      <c r="S7" s="118" t="e">
        <f t="shared" si="0"/>
        <v>#VALUE!</v>
      </c>
      <c r="T7" s="194"/>
      <c r="U7" s="226"/>
      <c r="V7" s="226"/>
      <c r="W7" s="226"/>
      <c r="X7" s="226"/>
      <c r="Y7" s="226"/>
      <c r="Z7" s="207"/>
      <c r="AA7" s="199"/>
      <c r="AB7" s="199"/>
      <c r="AC7" s="199"/>
      <c r="AD7" s="199"/>
      <c r="AE7" s="199"/>
      <c r="AF7" s="199"/>
      <c r="AG7" s="199"/>
      <c r="AH7" s="199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s="2" customFormat="1" ht="15" customHeight="1" thickBot="1">
      <c r="A8" s="3"/>
      <c r="B8" s="134"/>
      <c r="C8" s="222" t="s">
        <v>67</v>
      </c>
      <c r="D8" s="222"/>
      <c r="E8" s="233"/>
      <c r="F8" s="234"/>
      <c r="G8" s="234"/>
      <c r="H8" s="87"/>
      <c r="I8" s="213" t="s">
        <v>79</v>
      </c>
      <c r="J8" s="219" t="s">
        <v>119</v>
      </c>
      <c r="K8" s="214"/>
      <c r="L8" s="215">
        <f>IF(K8&gt;0,IF($S$1=1,K8/0.3048,K8*0.3048),"")</f>
      </c>
      <c r="M8" s="133"/>
      <c r="N8" s="166"/>
      <c r="O8" s="3"/>
      <c r="P8" s="3"/>
      <c r="Q8" s="3"/>
      <c r="R8" s="118">
        <f t="shared" si="0"/>
        <v>0</v>
      </c>
      <c r="S8" s="118" t="e">
        <f t="shared" si="0"/>
        <v>#VALUE!</v>
      </c>
      <c r="T8" s="3"/>
      <c r="U8" s="93"/>
      <c r="V8" s="93"/>
      <c r="W8" s="93"/>
      <c r="X8" s="93"/>
      <c r="Y8" s="93"/>
      <c r="Z8" s="207"/>
      <c r="AA8" s="199"/>
      <c r="AB8" s="199"/>
      <c r="AC8" s="199"/>
      <c r="AD8" s="199"/>
      <c r="AE8" s="199"/>
      <c r="AF8" s="199"/>
      <c r="AG8" s="199"/>
      <c r="AH8" s="199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s="2" customFormat="1" ht="15" customHeight="1" thickBot="1">
      <c r="A9" s="3"/>
      <c r="B9" s="134"/>
      <c r="C9" s="222" t="s">
        <v>68</v>
      </c>
      <c r="D9" s="222"/>
      <c r="E9" s="233"/>
      <c r="F9" s="234"/>
      <c r="G9" s="234"/>
      <c r="H9" s="87"/>
      <c r="I9" s="216" t="s">
        <v>121</v>
      </c>
      <c r="J9" s="217" t="s">
        <v>72</v>
      </c>
      <c r="K9" s="215">
        <f>IF(AND(ASLU_1&gt;0,ASLE_1&gt;0,AMG_1&gt;0,ASF_1&gt;0),((ASLU_1+ASLE_1)/2)*((ASF_1+(4*AMG_1))/5)*0.83,"")</f>
      </c>
      <c r="L9" s="215">
        <f>IF(AND(ASLU_1&gt;0,ASLE_1&gt;0,AMG_1&gt;0,ASF_1&gt;0),((ASLU_1a+ASLE_1a)/2)*((ASF_1a+(4*AMG_1a))/5)*0.83,"")</f>
      </c>
      <c r="M9" s="133"/>
      <c r="N9" s="166"/>
      <c r="O9" s="3"/>
      <c r="P9" s="3"/>
      <c r="Q9" s="3"/>
      <c r="R9" s="118">
        <f>IF(AND(ASLU_1&gt;0,ASLE_1&gt;0),ROUND(0.5*(ASLU_1+ASLE_1),2),"")</f>
      </c>
      <c r="S9" s="118" t="e">
        <f>ROUND(IF(AND(ASLU_1&gt;0,ASLE_1&gt;0),IF($S$1=1,ASL_1/0.3048,ASL_1*0.3048),""),2)</f>
        <v>#VALUE!</v>
      </c>
      <c r="T9" s="3"/>
      <c r="U9" s="235" t="s">
        <v>115</v>
      </c>
      <c r="V9" s="226"/>
      <c r="W9" s="226"/>
      <c r="X9" s="226"/>
      <c r="Y9" s="226"/>
      <c r="Z9" s="207"/>
      <c r="AA9" s="199"/>
      <c r="AB9" s="199"/>
      <c r="AC9" s="199"/>
      <c r="AD9" s="199"/>
      <c r="AE9" s="199"/>
      <c r="AF9" s="199"/>
      <c r="AG9" s="199"/>
      <c r="AH9" s="199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s="2" customFormat="1" ht="15" customHeight="1" thickBot="1">
      <c r="A10" s="3"/>
      <c r="B10" s="134"/>
      <c r="C10" s="222" t="s">
        <v>69</v>
      </c>
      <c r="D10" s="222"/>
      <c r="E10" s="233"/>
      <c r="F10" s="234"/>
      <c r="G10" s="234"/>
      <c r="H10" s="86"/>
      <c r="I10" s="251" t="s">
        <v>122</v>
      </c>
      <c r="J10" s="252"/>
      <c r="K10" s="215">
        <f>IF(AND(ASLU_1&gt;0,ASLE_1&gt;0,AMG_1&gt;0,ASF_1&gt;0),ASL_1*(0.5*ASF_1+2*AMG_1)/3,"")</f>
      </c>
      <c r="L10" s="215">
        <f>IF(AND(ASLU_1&gt;0,ASLE_1&gt;0,AMG_1&gt;0,ASF_1&gt;0),ASL_1a*(0.5*ASF_1a+2*AMG_1a)/3,"")</f>
      </c>
      <c r="M10" s="133"/>
      <c r="N10" s="166"/>
      <c r="O10" s="3"/>
      <c r="P10" s="3"/>
      <c r="Q10" s="82"/>
      <c r="T10" s="108"/>
      <c r="U10" s="226"/>
      <c r="V10" s="226"/>
      <c r="W10" s="226"/>
      <c r="X10" s="226"/>
      <c r="Y10" s="226"/>
      <c r="Z10" s="208"/>
      <c r="AA10" s="196"/>
      <c r="AB10" s="195"/>
      <c r="AC10" s="195"/>
      <c r="AD10" s="195"/>
      <c r="AE10" s="197"/>
      <c r="AF10" s="195"/>
      <c r="AG10" s="160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s="2" customFormat="1" ht="15" customHeight="1">
      <c r="A11" s="3"/>
      <c r="B11" s="134"/>
      <c r="C11" s="223" t="s">
        <v>118</v>
      </c>
      <c r="D11" s="224"/>
      <c r="E11" s="224"/>
      <c r="F11" s="218"/>
      <c r="G11" s="241" t="s">
        <v>44</v>
      </c>
      <c r="H11" s="86"/>
      <c r="I11" s="220"/>
      <c r="J11" s="221"/>
      <c r="L11" s="200" t="s">
        <v>70</v>
      </c>
      <c r="M11" s="133"/>
      <c r="N11" s="167"/>
      <c r="O11" s="99"/>
      <c r="P11" s="3"/>
      <c r="Q11" s="82"/>
      <c r="T11" s="108"/>
      <c r="U11" s="211"/>
      <c r="V11" s="211"/>
      <c r="W11" s="211"/>
      <c r="X11" s="211"/>
      <c r="Y11" s="211"/>
      <c r="Z11" s="209"/>
      <c r="AA11" s="109"/>
      <c r="AB11" s="108"/>
      <c r="AC11" s="108"/>
      <c r="AD11" s="108"/>
      <c r="AE11" s="107"/>
      <c r="AF11" s="108"/>
      <c r="AG11" s="16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s="2" customFormat="1" ht="15" customHeight="1">
      <c r="A12" s="3"/>
      <c r="B12" s="136"/>
      <c r="C12" s="224"/>
      <c r="D12" s="224"/>
      <c r="E12" s="224"/>
      <c r="F12" s="218"/>
      <c r="G12" s="242"/>
      <c r="H12" s="87"/>
      <c r="I12" s="150"/>
      <c r="J12" s="150"/>
      <c r="K12" s="150"/>
      <c r="L12" s="200"/>
      <c r="M12" s="94"/>
      <c r="N12" s="164"/>
      <c r="O12" s="156"/>
      <c r="P12" s="3"/>
      <c r="Q12" s="3"/>
      <c r="T12" s="111"/>
      <c r="U12" s="236" t="s">
        <v>116</v>
      </c>
      <c r="V12" s="236"/>
      <c r="W12" s="236"/>
      <c r="X12" s="236"/>
      <c r="Y12" s="236"/>
      <c r="Z12" s="95"/>
      <c r="AA12" s="95"/>
      <c r="AB12" s="95"/>
      <c r="AC12" s="95"/>
      <c r="AD12" s="95"/>
      <c r="AE12" s="95"/>
      <c r="AF12" s="9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2" customFormat="1" ht="15" customHeight="1" thickBot="1">
      <c r="A13" s="3"/>
      <c r="B13" s="136"/>
      <c r="C13" s="222" t="s">
        <v>103</v>
      </c>
      <c r="D13" s="222"/>
      <c r="E13" s="233"/>
      <c r="F13" s="234"/>
      <c r="G13" s="234"/>
      <c r="H13" s="86"/>
      <c r="M13" s="94"/>
      <c r="N13" s="164"/>
      <c r="O13" s="156"/>
      <c r="P13" s="3"/>
      <c r="Q13" s="3"/>
      <c r="R13" s="95"/>
      <c r="S13" s="95"/>
      <c r="T13" s="95"/>
      <c r="U13" s="236"/>
      <c r="V13" s="236"/>
      <c r="W13" s="236"/>
      <c r="X13" s="236"/>
      <c r="Y13" s="236"/>
      <c r="Z13" s="95"/>
      <c r="AA13" s="95"/>
      <c r="AB13" s="95"/>
      <c r="AC13" s="95"/>
      <c r="AD13" s="95"/>
      <c r="AE13" s="95"/>
      <c r="AF13" s="9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s="2" customFormat="1" ht="15" customHeight="1" thickBot="1">
      <c r="A14" s="3"/>
      <c r="B14" s="136"/>
      <c r="C14" s="222" t="s">
        <v>104</v>
      </c>
      <c r="D14" s="222"/>
      <c r="E14" s="233"/>
      <c r="F14" s="234"/>
      <c r="G14" s="234"/>
      <c r="H14" s="83"/>
      <c r="I14" s="240">
        <f>IF(K7&gt;=0.75*K8,"","THIS IS NOT A LEGAL SPINNAKER")</f>
      </c>
      <c r="J14" s="240"/>
      <c r="K14" s="240"/>
      <c r="L14" s="240"/>
      <c r="M14" s="94"/>
      <c r="N14" s="165"/>
      <c r="O14" s="161"/>
      <c r="P14" s="3"/>
      <c r="Q14" s="3"/>
      <c r="R14" s="95"/>
      <c r="S14" s="95"/>
      <c r="T14" s="95"/>
      <c r="U14" s="3"/>
      <c r="V14" s="3"/>
      <c r="W14" s="3"/>
      <c r="X14" s="3"/>
      <c r="Y14" s="3"/>
      <c r="Z14" s="154"/>
      <c r="AA14" s="95"/>
      <c r="AB14" s="154"/>
      <c r="AC14" s="95"/>
      <c r="AD14" s="154"/>
      <c r="AE14" s="95"/>
      <c r="AF14" s="95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s="2" customFormat="1" ht="15" customHeight="1" thickBot="1">
      <c r="A15" s="3"/>
      <c r="B15" s="136"/>
      <c r="C15" s="222" t="s">
        <v>105</v>
      </c>
      <c r="D15" s="222"/>
      <c r="E15" s="233"/>
      <c r="F15" s="234"/>
      <c r="G15" s="234"/>
      <c r="H15" s="87"/>
      <c r="I15" s="240">
        <f>IF(K7&gt;=0.75*K8,"","HALF WIDTH &lt; 0.75 x FOOT")</f>
      </c>
      <c r="J15" s="240"/>
      <c r="K15" s="240"/>
      <c r="L15" s="240"/>
      <c r="M15" s="94"/>
      <c r="N15" s="165"/>
      <c r="O15" s="161"/>
      <c r="P15" s="3"/>
      <c r="Q15" s="3"/>
      <c r="R15" s="103"/>
      <c r="S15" s="103"/>
      <c r="T15" s="103"/>
      <c r="U15" s="237" t="s">
        <v>108</v>
      </c>
      <c r="V15" s="238"/>
      <c r="W15" s="238"/>
      <c r="X15" s="238"/>
      <c r="Y15" s="238"/>
      <c r="Z15" s="103"/>
      <c r="AA15" s="103"/>
      <c r="AB15" s="103"/>
      <c r="AC15" s="10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s="2" customFormat="1" ht="15" customHeight="1" thickBot="1">
      <c r="A16" s="3"/>
      <c r="B16" s="137"/>
      <c r="C16" s="222" t="s">
        <v>106</v>
      </c>
      <c r="D16" s="222"/>
      <c r="E16" s="233"/>
      <c r="F16" s="234"/>
      <c r="G16" s="234"/>
      <c r="I16" s="240">
        <f>IF(K7&gt;=0.75*K8,"","SAIL MUST BE MEASURED AS A HEADSAIL")</f>
      </c>
      <c r="J16" s="238"/>
      <c r="K16" s="238"/>
      <c r="L16" s="238"/>
      <c r="M16" s="205"/>
      <c r="N16" s="206"/>
      <c r="O16" s="161"/>
      <c r="P16" s="3"/>
      <c r="Q16" s="95"/>
      <c r="R16" s="103"/>
      <c r="S16" s="95"/>
      <c r="T16" s="95"/>
      <c r="U16" s="3"/>
      <c r="V16" s="3"/>
      <c r="W16" s="3"/>
      <c r="X16" s="3"/>
      <c r="Y16" s="3"/>
      <c r="Z16" s="95"/>
      <c r="AA16" s="95"/>
      <c r="AB16" s="95"/>
      <c r="AC16" s="95"/>
      <c r="AD16" s="95"/>
      <c r="AE16" s="95"/>
      <c r="AF16" s="95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s="2" customFormat="1" ht="15" customHeight="1">
      <c r="A17" s="3"/>
      <c r="B17" s="136"/>
      <c r="C17" s="88"/>
      <c r="D17" s="85"/>
      <c r="E17" s="89"/>
      <c r="F17" s="87"/>
      <c r="G17" s="89"/>
      <c r="H17" s="89"/>
      <c r="I17" s="150"/>
      <c r="J17" s="150"/>
      <c r="K17" s="150"/>
      <c r="L17" s="150"/>
      <c r="M17" s="94"/>
      <c r="N17" s="164"/>
      <c r="O17" s="156"/>
      <c r="P17" s="95"/>
      <c r="Q17" s="95"/>
      <c r="R17" s="95"/>
      <c r="S17" s="95"/>
      <c r="T17" s="95"/>
      <c r="U17" s="203" t="s">
        <v>109</v>
      </c>
      <c r="V17" s="209"/>
      <c r="W17" s="204" t="s">
        <v>110</v>
      </c>
      <c r="X17" s="209"/>
      <c r="Y17" s="209"/>
      <c r="Z17" s="95"/>
      <c r="AA17" s="95"/>
      <c r="AB17" s="95"/>
      <c r="AC17" s="95"/>
      <c r="AD17" s="95"/>
      <c r="AE17" s="95"/>
      <c r="AF17" s="95"/>
      <c r="AG17" s="95"/>
      <c r="AH17" s="95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2" customFormat="1" ht="15" customHeight="1">
      <c r="A18" s="3"/>
      <c r="B18" s="136"/>
      <c r="C18" s="88"/>
      <c r="D18" s="85"/>
      <c r="E18" s="87"/>
      <c r="F18" s="89"/>
      <c r="G18" s="89"/>
      <c r="H18" s="89"/>
      <c r="I18" s="150"/>
      <c r="J18" s="150"/>
      <c r="K18" s="150"/>
      <c r="L18" s="150"/>
      <c r="M18" s="94"/>
      <c r="N18" s="164"/>
      <c r="O18" s="156"/>
      <c r="P18" s="95"/>
      <c r="Q18" s="95"/>
      <c r="R18" s="95"/>
      <c r="S18" s="95"/>
      <c r="T18" s="95"/>
      <c r="U18" s="92"/>
      <c r="V18" s="92"/>
      <c r="W18" s="92"/>
      <c r="X18" s="92"/>
      <c r="Y18" s="92"/>
      <c r="Z18" s="95"/>
      <c r="AA18" s="95"/>
      <c r="AB18" s="95"/>
      <c r="AC18" s="95"/>
      <c r="AD18" s="95"/>
      <c r="AE18" s="95"/>
      <c r="AF18" s="95"/>
      <c r="AG18" s="95"/>
      <c r="AH18" s="95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s="2" customFormat="1" ht="15" customHeight="1">
      <c r="A19" s="3"/>
      <c r="B19" s="136"/>
      <c r="C19" s="84"/>
      <c r="D19" s="85"/>
      <c r="E19" s="89"/>
      <c r="F19" s="87"/>
      <c r="G19" s="87"/>
      <c r="H19" s="87"/>
      <c r="I19" s="150"/>
      <c r="J19" s="150"/>
      <c r="K19" s="150"/>
      <c r="L19" s="150"/>
      <c r="M19" s="94"/>
      <c r="N19" s="164"/>
      <c r="O19" s="156"/>
      <c r="P19" s="95"/>
      <c r="Q19" s="95"/>
      <c r="R19" s="95"/>
      <c r="S19" s="95"/>
      <c r="T19" s="95"/>
      <c r="U19" s="202" t="s">
        <v>111</v>
      </c>
      <c r="V19" s="92"/>
      <c r="W19" s="92"/>
      <c r="X19" s="92"/>
      <c r="Y19" s="92"/>
      <c r="Z19" s="95"/>
      <c r="AA19" s="95"/>
      <c r="AB19" s="95"/>
      <c r="AC19" s="95"/>
      <c r="AD19" s="95"/>
      <c r="AE19" s="95"/>
      <c r="AF19" s="95"/>
      <c r="AG19" s="95"/>
      <c r="AH19" s="95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s="2" customFormat="1" ht="15" customHeight="1">
      <c r="A20" s="3"/>
      <c r="B20" s="136"/>
      <c r="C20" s="88"/>
      <c r="D20" s="85"/>
      <c r="E20" s="87"/>
      <c r="F20" s="87"/>
      <c r="G20" s="87"/>
      <c r="H20" s="87"/>
      <c r="I20" s="150"/>
      <c r="J20" s="150"/>
      <c r="K20" s="150"/>
      <c r="L20" s="150"/>
      <c r="M20" s="94"/>
      <c r="N20" s="164"/>
      <c r="O20" s="156"/>
      <c r="P20" s="95"/>
      <c r="Q20" s="95"/>
      <c r="R20" s="95"/>
      <c r="S20" s="95"/>
      <c r="T20" s="95"/>
      <c r="U20" s="3"/>
      <c r="V20" s="3"/>
      <c r="W20" s="3"/>
      <c r="X20" s="3"/>
      <c r="Y20" s="3"/>
      <c r="Z20" s="95"/>
      <c r="AA20" s="95"/>
      <c r="AB20" s="95"/>
      <c r="AC20" s="95"/>
      <c r="AD20" s="95"/>
      <c r="AE20" s="95"/>
      <c r="AF20" s="95"/>
      <c r="AG20" s="95"/>
      <c r="AH20" s="95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s="2" customFormat="1" ht="15" customHeight="1">
      <c r="A21" s="3"/>
      <c r="B21" s="136"/>
      <c r="C21" s="88"/>
      <c r="D21" s="85"/>
      <c r="E21" s="87"/>
      <c r="F21" s="86"/>
      <c r="G21" s="86"/>
      <c r="H21" s="86"/>
      <c r="I21" s="150"/>
      <c r="J21" s="150"/>
      <c r="K21" s="150"/>
      <c r="L21" s="150"/>
      <c r="M21" s="94"/>
      <c r="N21" s="164"/>
      <c r="O21" s="156"/>
      <c r="P21" s="95"/>
      <c r="Q21" s="95"/>
      <c r="R21" s="95"/>
      <c r="S21" s="95"/>
      <c r="T21" s="95"/>
      <c r="U21" s="239" t="s">
        <v>112</v>
      </c>
      <c r="V21" s="226"/>
      <c r="W21" s="226"/>
      <c r="X21" s="226"/>
      <c r="Y21" s="226"/>
      <c r="Z21" s="95"/>
      <c r="AA21" s="95"/>
      <c r="AB21" s="95"/>
      <c r="AC21" s="95"/>
      <c r="AD21" s="95"/>
      <c r="AE21" s="95"/>
      <c r="AF21" s="95"/>
      <c r="AG21" s="95"/>
      <c r="AH21" s="95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s="2" customFormat="1" ht="15" customHeight="1">
      <c r="A22" s="3"/>
      <c r="B22" s="136"/>
      <c r="C22" s="88"/>
      <c r="D22" s="85"/>
      <c r="E22" s="86"/>
      <c r="F22" s="87"/>
      <c r="G22" s="86"/>
      <c r="H22" s="86"/>
      <c r="I22" s="150"/>
      <c r="J22" s="150"/>
      <c r="K22" s="150"/>
      <c r="L22" s="150"/>
      <c r="M22" s="94"/>
      <c r="N22" s="165"/>
      <c r="O22" s="161"/>
      <c r="P22" s="95"/>
      <c r="Q22" s="95"/>
      <c r="R22" s="95"/>
      <c r="S22" s="95"/>
      <c r="T22" s="95"/>
      <c r="U22" s="226"/>
      <c r="V22" s="226"/>
      <c r="W22" s="226"/>
      <c r="X22" s="226"/>
      <c r="Y22" s="226"/>
      <c r="Z22" s="95"/>
      <c r="AA22" s="95"/>
      <c r="AB22" s="95"/>
      <c r="AC22" s="95"/>
      <c r="AD22" s="95"/>
      <c r="AE22" s="95"/>
      <c r="AF22" s="95"/>
      <c r="AG22" s="95"/>
      <c r="AH22" s="95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s="2" customFormat="1" ht="15" customHeight="1">
      <c r="A23" s="3"/>
      <c r="B23" s="136"/>
      <c r="C23" s="84"/>
      <c r="D23" s="85"/>
      <c r="E23" s="86"/>
      <c r="F23" s="86"/>
      <c r="G23" s="87"/>
      <c r="H23" s="87"/>
      <c r="I23" s="150"/>
      <c r="J23" s="150"/>
      <c r="K23" s="150"/>
      <c r="L23" s="150"/>
      <c r="M23" s="94"/>
      <c r="N23" s="165"/>
      <c r="O23" s="161"/>
      <c r="P23" s="95"/>
      <c r="Q23" s="95"/>
      <c r="R23" s="95"/>
      <c r="S23" s="95"/>
      <c r="T23" s="95"/>
      <c r="U23" s="92"/>
      <c r="V23" s="92"/>
      <c r="W23" s="92"/>
      <c r="X23" s="92"/>
      <c r="Y23" s="92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2:35" ht="15" customHeight="1">
      <c r="B24" s="136"/>
      <c r="C24" s="84"/>
      <c r="D24" s="85"/>
      <c r="E24" s="86"/>
      <c r="F24" s="86"/>
      <c r="G24" s="87"/>
      <c r="H24" s="87"/>
      <c r="I24" s="150"/>
      <c r="J24" s="150"/>
      <c r="K24" s="150"/>
      <c r="L24" s="150"/>
      <c r="M24" s="94"/>
      <c r="N24" s="164"/>
      <c r="O24" s="156"/>
      <c r="P24" s="95"/>
      <c r="Q24" s="95"/>
      <c r="R24" s="95"/>
      <c r="S24" s="95"/>
      <c r="T24" s="95"/>
      <c r="U24" s="225" t="s">
        <v>113</v>
      </c>
      <c r="V24" s="226"/>
      <c r="W24" s="226"/>
      <c r="X24" s="226"/>
      <c r="Y24" s="227"/>
      <c r="Z24" s="95"/>
      <c r="AA24" s="95"/>
      <c r="AB24" s="95"/>
      <c r="AC24" s="95"/>
      <c r="AD24" s="95"/>
      <c r="AE24" s="95"/>
      <c r="AF24" s="95"/>
      <c r="AG24" s="95"/>
      <c r="AH24" s="95"/>
      <c r="AI24" s="95"/>
    </row>
    <row r="25" spans="2:35" ht="15" customHeight="1">
      <c r="B25" s="136"/>
      <c r="C25" s="84"/>
      <c r="D25" s="85"/>
      <c r="E25" s="86"/>
      <c r="F25" s="86"/>
      <c r="G25" s="87"/>
      <c r="H25" s="87"/>
      <c r="I25" s="150"/>
      <c r="J25" s="150"/>
      <c r="K25" s="150"/>
      <c r="L25" s="150"/>
      <c r="M25" s="94"/>
      <c r="N25" s="164"/>
      <c r="O25" s="156"/>
      <c r="P25" s="95"/>
      <c r="Q25" s="95"/>
      <c r="R25" s="95"/>
      <c r="S25" s="95"/>
      <c r="T25" s="95"/>
      <c r="U25" s="228"/>
      <c r="V25" s="229"/>
      <c r="W25" s="229"/>
      <c r="X25" s="229"/>
      <c r="Y25" s="227"/>
      <c r="Z25" s="95"/>
      <c r="AA25" s="95"/>
      <c r="AB25" s="95"/>
      <c r="AC25" s="95"/>
      <c r="AD25" s="95"/>
      <c r="AE25" s="95"/>
      <c r="AF25" s="95"/>
      <c r="AG25" s="95"/>
      <c r="AH25" s="95"/>
      <c r="AI25" s="95"/>
    </row>
    <row r="26" spans="2:35" ht="15" customHeight="1">
      <c r="B26" s="136"/>
      <c r="C26" s="84"/>
      <c r="D26" s="85"/>
      <c r="E26" s="86"/>
      <c r="F26" s="86"/>
      <c r="G26" s="87"/>
      <c r="H26" s="87"/>
      <c r="I26" s="150"/>
      <c r="J26" s="150"/>
      <c r="K26" s="150"/>
      <c r="L26" s="150"/>
      <c r="M26" s="133"/>
      <c r="N26" s="163"/>
      <c r="P26" s="95"/>
      <c r="U26" s="230"/>
      <c r="V26" s="231"/>
      <c r="W26" s="231"/>
      <c r="X26" s="231"/>
      <c r="Y26" s="232"/>
      <c r="Z26" s="95"/>
      <c r="AA26" s="95"/>
      <c r="AB26" s="95"/>
      <c r="AC26" s="95"/>
      <c r="AD26" s="95"/>
      <c r="AE26" s="95"/>
      <c r="AF26" s="95"/>
      <c r="AG26" s="95"/>
      <c r="AH26" s="95"/>
      <c r="AI26" s="95"/>
    </row>
    <row r="27" spans="2:35" ht="15" customHeight="1">
      <c r="B27" s="136"/>
      <c r="C27" s="84"/>
      <c r="D27" s="85"/>
      <c r="E27" s="86"/>
      <c r="F27" s="86"/>
      <c r="G27" s="87"/>
      <c r="H27" s="87"/>
      <c r="I27" s="150"/>
      <c r="J27" s="150"/>
      <c r="K27" s="150"/>
      <c r="L27" s="150"/>
      <c r="M27" s="133"/>
      <c r="N27" s="163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</row>
    <row r="28" spans="2:35" ht="15" customHeight="1">
      <c r="B28" s="136"/>
      <c r="C28" s="84"/>
      <c r="D28" s="85"/>
      <c r="E28" s="86"/>
      <c r="F28" s="86"/>
      <c r="G28" s="87"/>
      <c r="H28" s="87"/>
      <c r="I28" s="150"/>
      <c r="J28" s="150"/>
      <c r="K28" s="150"/>
      <c r="L28" s="150"/>
      <c r="M28" s="133"/>
      <c r="N28" s="163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</row>
    <row r="29" spans="2:35" ht="15" customHeight="1">
      <c r="B29" s="136"/>
      <c r="C29" s="84"/>
      <c r="D29" s="85"/>
      <c r="E29" s="86"/>
      <c r="F29" s="86"/>
      <c r="G29" s="87"/>
      <c r="H29" s="87"/>
      <c r="I29" s="150"/>
      <c r="J29" s="150"/>
      <c r="K29" s="150"/>
      <c r="L29" s="150"/>
      <c r="M29" s="133"/>
      <c r="N29" s="163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2:35" ht="15" customHeight="1">
      <c r="B30" s="138"/>
      <c r="C30" s="96"/>
      <c r="D30" s="96"/>
      <c r="E30" s="96"/>
      <c r="F30" s="96"/>
      <c r="G30" s="96"/>
      <c r="H30" s="96"/>
      <c r="I30" s="96"/>
      <c r="J30" s="96"/>
      <c r="K30" s="150"/>
      <c r="L30" s="150"/>
      <c r="M30" s="133"/>
      <c r="N30" s="163"/>
      <c r="P30" s="95"/>
      <c r="Q30" s="110"/>
      <c r="R30" s="95"/>
      <c r="S30" s="95"/>
      <c r="T30" s="95"/>
      <c r="U30" s="95"/>
      <c r="V30" s="110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</row>
    <row r="31" spans="2:29" ht="12" customHeight="1">
      <c r="B31" s="138"/>
      <c r="C31" s="96"/>
      <c r="D31" s="96"/>
      <c r="E31" s="96"/>
      <c r="F31" s="96"/>
      <c r="G31" s="96"/>
      <c r="H31" s="96"/>
      <c r="I31" s="96"/>
      <c r="J31" s="96"/>
      <c r="K31" s="150"/>
      <c r="L31" s="150"/>
      <c r="M31" s="133"/>
      <c r="N31" s="165"/>
      <c r="P31" s="95"/>
      <c r="Y31" s="95"/>
      <c r="Z31" s="95"/>
      <c r="AA31" s="152"/>
      <c r="AB31" s="152"/>
      <c r="AC31" s="152"/>
    </row>
    <row r="32" spans="2:35" ht="12" customHeight="1">
      <c r="B32" s="138"/>
      <c r="C32" s="96"/>
      <c r="D32" s="96"/>
      <c r="E32" s="96"/>
      <c r="F32" s="96"/>
      <c r="G32" s="96"/>
      <c r="H32" s="96"/>
      <c r="I32" s="96"/>
      <c r="J32" s="96"/>
      <c r="K32" s="112"/>
      <c r="L32" s="112"/>
      <c r="M32" s="96"/>
      <c r="N32" s="163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2:35" ht="12" customHeight="1">
      <c r="B33" s="138"/>
      <c r="C33" s="96"/>
      <c r="D33" s="96"/>
      <c r="E33" s="96"/>
      <c r="F33" s="96"/>
      <c r="G33" s="96"/>
      <c r="H33" s="96"/>
      <c r="I33" s="96"/>
      <c r="J33" s="96"/>
      <c r="K33" s="112"/>
      <c r="L33" s="112"/>
      <c r="M33" s="96"/>
      <c r="N33" s="163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2:35" ht="12" customHeight="1">
      <c r="B34" s="138"/>
      <c r="C34" s="96"/>
      <c r="D34" s="96"/>
      <c r="E34" s="96"/>
      <c r="F34" s="96"/>
      <c r="G34" s="96"/>
      <c r="H34" s="96"/>
      <c r="I34" s="96"/>
      <c r="J34" s="96"/>
      <c r="K34" s="112"/>
      <c r="L34" s="112"/>
      <c r="M34" s="96"/>
      <c r="N34" s="163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</row>
    <row r="35" spans="2:35" ht="12" customHeight="1">
      <c r="B35" s="138"/>
      <c r="C35" s="96"/>
      <c r="D35" s="96"/>
      <c r="E35" s="96"/>
      <c r="F35" s="96"/>
      <c r="G35" s="96"/>
      <c r="H35" s="96"/>
      <c r="I35" s="96"/>
      <c r="J35" s="96"/>
      <c r="K35" s="112"/>
      <c r="L35" s="112"/>
      <c r="M35" s="96"/>
      <c r="N35" s="163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</row>
    <row r="36" spans="2:14" ht="12" customHeight="1">
      <c r="B36" s="138"/>
      <c r="C36" s="96"/>
      <c r="D36" s="96"/>
      <c r="E36" s="96"/>
      <c r="F36" s="96"/>
      <c r="G36" s="96"/>
      <c r="H36" s="96"/>
      <c r="I36" s="96"/>
      <c r="J36" s="96"/>
      <c r="K36" s="112"/>
      <c r="L36" s="112"/>
      <c r="M36" s="96"/>
      <c r="N36" s="163"/>
    </row>
    <row r="37" spans="2:14" ht="12" customHeight="1">
      <c r="B37" s="138"/>
      <c r="C37" s="96"/>
      <c r="D37" s="96"/>
      <c r="E37" s="96"/>
      <c r="F37" s="96"/>
      <c r="G37" s="96"/>
      <c r="H37" s="96"/>
      <c r="I37" s="96"/>
      <c r="J37" s="96"/>
      <c r="K37" s="112"/>
      <c r="L37" s="112"/>
      <c r="M37" s="96"/>
      <c r="N37" s="163"/>
    </row>
    <row r="38" spans="2:15" ht="12" customHeight="1">
      <c r="B38" s="137"/>
      <c r="C38" s="84"/>
      <c r="D38" s="85"/>
      <c r="E38" s="87"/>
      <c r="F38" s="87"/>
      <c r="G38" s="87"/>
      <c r="H38" s="87"/>
      <c r="I38" s="150"/>
      <c r="J38" s="150"/>
      <c r="K38" s="135"/>
      <c r="L38" s="135"/>
      <c r="M38" s="133"/>
      <c r="N38" s="167"/>
      <c r="O38" s="99"/>
    </row>
    <row r="39" spans="2:15" ht="12" customHeight="1">
      <c r="B39" s="139"/>
      <c r="C39" s="88"/>
      <c r="D39" s="85"/>
      <c r="E39" s="87"/>
      <c r="F39" s="87"/>
      <c r="G39" s="87"/>
      <c r="H39" s="87"/>
      <c r="I39" s="150"/>
      <c r="J39" s="150"/>
      <c r="K39" s="135"/>
      <c r="L39" s="135"/>
      <c r="M39" s="133"/>
      <c r="N39" s="168"/>
      <c r="O39" s="97"/>
    </row>
    <row r="40" spans="2:15" ht="12" customHeight="1">
      <c r="B40" s="139"/>
      <c r="C40" s="88"/>
      <c r="D40" s="85"/>
      <c r="E40" s="90"/>
      <c r="F40" s="89"/>
      <c r="G40" s="89"/>
      <c r="H40" s="90"/>
      <c r="I40" s="150"/>
      <c r="J40" s="150"/>
      <c r="K40" s="135"/>
      <c r="L40" s="135"/>
      <c r="M40" s="133"/>
      <c r="N40" s="164"/>
      <c r="O40" s="156"/>
    </row>
    <row r="41" spans="2:15" ht="12" customHeight="1">
      <c r="B41" s="139"/>
      <c r="C41" s="88"/>
      <c r="D41" s="85"/>
      <c r="E41" s="87"/>
      <c r="F41" s="87"/>
      <c r="G41" s="87"/>
      <c r="H41" s="87"/>
      <c r="I41" s="150"/>
      <c r="J41" s="150"/>
      <c r="K41" s="135"/>
      <c r="L41" s="135"/>
      <c r="M41" s="133"/>
      <c r="N41" s="164"/>
      <c r="O41" s="156"/>
    </row>
    <row r="42" spans="2:15" ht="12" customHeight="1">
      <c r="B42" s="140"/>
      <c r="C42" s="84"/>
      <c r="D42" s="85"/>
      <c r="E42" s="87"/>
      <c r="F42" s="87"/>
      <c r="G42" s="87"/>
      <c r="H42" s="87"/>
      <c r="I42" s="150"/>
      <c r="J42" s="150"/>
      <c r="K42" s="135"/>
      <c r="L42" s="135"/>
      <c r="M42" s="133"/>
      <c r="N42" s="164"/>
      <c r="O42" s="156"/>
    </row>
    <row r="43" spans="2:15" ht="12" customHeight="1">
      <c r="B43" s="140"/>
      <c r="C43" s="88"/>
      <c r="D43" s="85"/>
      <c r="E43" s="87"/>
      <c r="F43" s="86"/>
      <c r="G43" s="86"/>
      <c r="H43" s="86"/>
      <c r="I43" s="150"/>
      <c r="J43" s="150"/>
      <c r="K43" s="135"/>
      <c r="L43" s="135"/>
      <c r="M43" s="133"/>
      <c r="N43" s="164"/>
      <c r="O43" s="156"/>
    </row>
    <row r="44" spans="2:15" ht="12" customHeight="1">
      <c r="B44" s="140"/>
      <c r="C44" s="88"/>
      <c r="D44" s="85"/>
      <c r="E44" s="86"/>
      <c r="F44" s="87"/>
      <c r="G44" s="86"/>
      <c r="H44" s="86"/>
      <c r="I44" s="150"/>
      <c r="J44" s="150"/>
      <c r="K44" s="135"/>
      <c r="L44" s="135"/>
      <c r="M44" s="96"/>
      <c r="N44" s="164"/>
      <c r="O44" s="156"/>
    </row>
    <row r="45" spans="2:15" ht="12" customHeight="1">
      <c r="B45" s="141"/>
      <c r="C45" s="133"/>
      <c r="D45" s="133"/>
      <c r="E45" s="133"/>
      <c r="F45" s="133"/>
      <c r="G45" s="133"/>
      <c r="H45" s="133"/>
      <c r="I45" s="133"/>
      <c r="J45" s="133"/>
      <c r="K45" s="135"/>
      <c r="L45" s="135"/>
      <c r="M45" s="96"/>
      <c r="N45" s="168"/>
      <c r="O45" s="97"/>
    </row>
    <row r="46" spans="2:15" ht="12" customHeight="1">
      <c r="B46" s="141"/>
      <c r="C46" s="133"/>
      <c r="D46" s="133"/>
      <c r="E46" s="133"/>
      <c r="F46" s="133"/>
      <c r="G46" s="133"/>
      <c r="H46" s="133"/>
      <c r="I46" s="133"/>
      <c r="J46" s="133"/>
      <c r="K46" s="135"/>
      <c r="L46" s="135"/>
      <c r="M46" s="96"/>
      <c r="N46" s="168"/>
      <c r="O46" s="97"/>
    </row>
    <row r="47" spans="2:14" ht="12" customHeight="1">
      <c r="B47" s="141"/>
      <c r="C47" s="133"/>
      <c r="D47" s="133"/>
      <c r="E47" s="133"/>
      <c r="F47" s="133"/>
      <c r="G47" s="133"/>
      <c r="H47" s="133"/>
      <c r="I47" s="133"/>
      <c r="J47" s="133"/>
      <c r="K47" s="135"/>
      <c r="L47" s="135"/>
      <c r="M47" s="96"/>
      <c r="N47" s="163"/>
    </row>
    <row r="48" spans="2:14" ht="12" customHeight="1">
      <c r="B48" s="141"/>
      <c r="C48" s="133"/>
      <c r="D48" s="133"/>
      <c r="E48" s="133"/>
      <c r="F48" s="133"/>
      <c r="G48" s="133"/>
      <c r="H48" s="133"/>
      <c r="I48" s="133"/>
      <c r="J48" s="133"/>
      <c r="K48" s="135"/>
      <c r="L48" s="135"/>
      <c r="M48" s="96"/>
      <c r="N48" s="163"/>
    </row>
    <row r="49" spans="2:14" ht="12" customHeight="1">
      <c r="B49" s="141"/>
      <c r="C49" s="133"/>
      <c r="D49" s="133"/>
      <c r="E49" s="133"/>
      <c r="F49" s="133"/>
      <c r="G49" s="133"/>
      <c r="H49" s="133"/>
      <c r="I49" s="133"/>
      <c r="J49" s="133"/>
      <c r="K49" s="142"/>
      <c r="L49" s="142"/>
      <c r="M49" s="96"/>
      <c r="N49" s="163"/>
    </row>
    <row r="50" spans="2:14" ht="12" customHeight="1">
      <c r="B50" s="141"/>
      <c r="C50" s="133"/>
      <c r="D50" s="133"/>
      <c r="E50" s="133"/>
      <c r="F50" s="133"/>
      <c r="G50" s="133"/>
      <c r="H50" s="133"/>
      <c r="I50" s="133"/>
      <c r="J50" s="133"/>
      <c r="K50" s="112"/>
      <c r="L50" s="112"/>
      <c r="M50" s="96"/>
      <c r="N50" s="163"/>
    </row>
    <row r="51" spans="2:14" ht="12" customHeight="1">
      <c r="B51" s="141"/>
      <c r="C51" s="133"/>
      <c r="D51" s="133"/>
      <c r="E51" s="133"/>
      <c r="F51" s="133"/>
      <c r="G51" s="133"/>
      <c r="H51" s="133"/>
      <c r="I51" s="133"/>
      <c r="J51" s="133"/>
      <c r="K51" s="112"/>
      <c r="L51" s="112"/>
      <c r="M51" s="96"/>
      <c r="N51" s="163"/>
    </row>
    <row r="52" spans="2:14" ht="12" customHeight="1">
      <c r="B52" s="141"/>
      <c r="C52" s="133"/>
      <c r="D52" s="133"/>
      <c r="E52" s="133"/>
      <c r="F52" s="133"/>
      <c r="G52" s="133"/>
      <c r="H52" s="133"/>
      <c r="I52" s="133"/>
      <c r="J52" s="133"/>
      <c r="K52" s="112"/>
      <c r="L52" s="112"/>
      <c r="M52" s="96"/>
      <c r="N52" s="163"/>
    </row>
    <row r="53" spans="2:14" ht="12" customHeight="1">
      <c r="B53" s="141"/>
      <c r="C53" s="133"/>
      <c r="D53" s="133"/>
      <c r="E53" s="133"/>
      <c r="F53" s="133"/>
      <c r="G53" s="133"/>
      <c r="H53" s="133"/>
      <c r="I53" s="133"/>
      <c r="J53" s="133"/>
      <c r="K53" s="142"/>
      <c r="L53" s="142"/>
      <c r="M53" s="96"/>
      <c r="N53" s="163"/>
    </row>
    <row r="54" spans="2:14" ht="12" customHeight="1">
      <c r="B54" s="141"/>
      <c r="C54" s="133"/>
      <c r="D54" s="133"/>
      <c r="E54" s="133"/>
      <c r="F54" s="133"/>
      <c r="G54" s="133"/>
      <c r="H54" s="133"/>
      <c r="I54" s="133"/>
      <c r="J54" s="133"/>
      <c r="K54" s="112"/>
      <c r="L54" s="112"/>
      <c r="M54" s="96"/>
      <c r="N54" s="163"/>
    </row>
    <row r="55" spans="2:14" ht="12" customHeight="1">
      <c r="B55" s="141"/>
      <c r="C55" s="133"/>
      <c r="D55" s="133"/>
      <c r="E55" s="133"/>
      <c r="F55" s="133"/>
      <c r="G55" s="133"/>
      <c r="H55" s="133"/>
      <c r="I55" s="133"/>
      <c r="J55" s="133"/>
      <c r="K55" s="142"/>
      <c r="L55" s="142"/>
      <c r="M55" s="96"/>
      <c r="N55" s="163"/>
    </row>
    <row r="56" spans="2:14" ht="12" customHeight="1">
      <c r="B56" s="141"/>
      <c r="C56" s="133"/>
      <c r="D56" s="133"/>
      <c r="E56" s="133"/>
      <c r="F56" s="133"/>
      <c r="G56" s="133"/>
      <c r="H56" s="133"/>
      <c r="I56" s="133"/>
      <c r="J56" s="133"/>
      <c r="K56" s="112"/>
      <c r="L56" s="112"/>
      <c r="M56" s="96"/>
      <c r="N56" s="163"/>
    </row>
    <row r="57" spans="2:14" ht="12" customHeight="1">
      <c r="B57" s="143"/>
      <c r="C57" s="144"/>
      <c r="D57" s="144"/>
      <c r="E57" s="144"/>
      <c r="F57" s="144"/>
      <c r="G57" s="144"/>
      <c r="H57" s="144"/>
      <c r="I57" s="144"/>
      <c r="J57" s="144"/>
      <c r="K57" s="142"/>
      <c r="L57" s="142"/>
      <c r="M57" s="96"/>
      <c r="N57" s="163"/>
    </row>
    <row r="58" spans="2:14" ht="12" customHeight="1">
      <c r="B58" s="138"/>
      <c r="C58" s="96"/>
      <c r="D58" s="96"/>
      <c r="E58" s="96"/>
      <c r="F58" s="96"/>
      <c r="G58" s="96"/>
      <c r="H58" s="96"/>
      <c r="I58" s="96"/>
      <c r="J58" s="96"/>
      <c r="K58" s="142"/>
      <c r="L58" s="142"/>
      <c r="M58" s="96"/>
      <c r="N58" s="163"/>
    </row>
    <row r="59" spans="2:14" ht="12" customHeight="1">
      <c r="B59" s="145"/>
      <c r="C59" s="96"/>
      <c r="D59" s="96"/>
      <c r="E59" s="96"/>
      <c r="F59" s="96"/>
      <c r="G59" s="96"/>
      <c r="H59" s="96"/>
      <c r="I59" s="96"/>
      <c r="J59" s="96"/>
      <c r="K59" s="142"/>
      <c r="L59" s="142"/>
      <c r="M59" s="96"/>
      <c r="N59" s="163"/>
    </row>
    <row r="60" spans="2:14" ht="12" customHeight="1">
      <c r="B60" s="138"/>
      <c r="C60" s="96"/>
      <c r="D60" s="96"/>
      <c r="E60" s="96" t="s">
        <v>71</v>
      </c>
      <c r="F60" s="96"/>
      <c r="G60" s="96"/>
      <c r="H60" s="96"/>
      <c r="I60" s="96"/>
      <c r="J60" s="96"/>
      <c r="K60" s="112"/>
      <c r="L60" s="112"/>
      <c r="M60" s="96"/>
      <c r="N60" s="163"/>
    </row>
    <row r="61" spans="2:14" ht="12" customHeight="1">
      <c r="B61" s="146"/>
      <c r="C61" s="147"/>
      <c r="D61" s="147"/>
      <c r="E61" s="147"/>
      <c r="F61" s="147"/>
      <c r="G61" s="147"/>
      <c r="H61" s="147"/>
      <c r="I61" s="147"/>
      <c r="J61" s="147"/>
      <c r="K61" s="148"/>
      <c r="L61" s="148"/>
      <c r="M61" s="149"/>
      <c r="N61" s="169"/>
    </row>
    <row r="62" ht="12" customHeight="1"/>
    <row r="63" spans="2:12" ht="12" customHeight="1">
      <c r="B63" s="100"/>
      <c r="C63" s="101"/>
      <c r="D63" s="101"/>
      <c r="E63" s="101"/>
      <c r="F63" s="101"/>
      <c r="G63" s="101"/>
      <c r="H63" s="101"/>
      <c r="I63" s="101"/>
      <c r="J63" s="101"/>
      <c r="K63" s="98"/>
      <c r="L63" s="98"/>
    </row>
    <row r="64" ht="12" customHeight="1"/>
    <row r="65" spans="2:12" ht="12" customHeight="1">
      <c r="B65" s="100"/>
      <c r="C65" s="101"/>
      <c r="D65" s="101"/>
      <c r="E65" s="101"/>
      <c r="F65" s="101"/>
      <c r="G65" s="101"/>
      <c r="H65" s="101"/>
      <c r="I65" s="101"/>
      <c r="J65" s="101"/>
      <c r="K65" s="98"/>
      <c r="L65" s="98"/>
    </row>
    <row r="66" spans="2:10" ht="12" customHeight="1">
      <c r="B66" s="100"/>
      <c r="C66" s="101"/>
      <c r="D66" s="101"/>
      <c r="E66" s="101"/>
      <c r="F66" s="101"/>
      <c r="G66" s="101"/>
      <c r="H66" s="101"/>
      <c r="I66" s="101"/>
      <c r="J66" s="101"/>
    </row>
    <row r="67" spans="2:12" ht="12" customHeight="1">
      <c r="B67" s="100"/>
      <c r="C67" s="101"/>
      <c r="D67" s="101"/>
      <c r="E67" s="101"/>
      <c r="F67" s="101"/>
      <c r="G67" s="101"/>
      <c r="H67" s="101"/>
      <c r="I67" s="101"/>
      <c r="J67" s="101"/>
      <c r="K67" s="98"/>
      <c r="L67" s="98"/>
    </row>
    <row r="68" ht="12" customHeight="1"/>
    <row r="69" spans="2:10" ht="12" customHeight="1">
      <c r="B69" s="100"/>
      <c r="C69" s="101"/>
      <c r="D69" s="101"/>
      <c r="E69" s="101"/>
      <c r="F69" s="101"/>
      <c r="G69" s="101"/>
      <c r="H69" s="101"/>
      <c r="I69" s="101"/>
      <c r="J69" s="101"/>
    </row>
    <row r="70" ht="12" customHeight="1"/>
    <row r="71" spans="2:10" ht="12" customHeight="1">
      <c r="B71" s="100"/>
      <c r="C71" s="101"/>
      <c r="D71" s="101"/>
      <c r="E71" s="101"/>
      <c r="F71" s="101"/>
      <c r="G71" s="101"/>
      <c r="H71" s="101"/>
      <c r="I71" s="101"/>
      <c r="J71" s="101"/>
    </row>
    <row r="72" ht="12" customHeight="1"/>
    <row r="73" spans="2:10" ht="12" customHeight="1">
      <c r="B73" s="100"/>
      <c r="C73" s="101"/>
      <c r="D73" s="101"/>
      <c r="E73" s="101"/>
      <c r="F73" s="101"/>
      <c r="G73" s="101"/>
      <c r="H73" s="101"/>
      <c r="I73" s="101"/>
      <c r="J73" s="101"/>
    </row>
    <row r="74" ht="12" customHeight="1"/>
    <row r="75" spans="2:10" ht="12" customHeight="1">
      <c r="B75" s="100"/>
      <c r="C75" s="101"/>
      <c r="D75" s="101"/>
      <c r="E75" s="101"/>
      <c r="F75" s="101"/>
      <c r="G75" s="101"/>
      <c r="H75" s="101"/>
      <c r="I75" s="101"/>
      <c r="J75" s="101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 password="EDFA" sheet="1" objects="1" scenarios="1" selectLockedCells="1"/>
  <mergeCells count="35">
    <mergeCell ref="C3:M3"/>
    <mergeCell ref="U6:Y7"/>
    <mergeCell ref="C1:M1"/>
    <mergeCell ref="C2:M2"/>
    <mergeCell ref="E6:G6"/>
    <mergeCell ref="E7:G7"/>
    <mergeCell ref="C5:D5"/>
    <mergeCell ref="C6:D6"/>
    <mergeCell ref="C7:D7"/>
    <mergeCell ref="E5:G5"/>
    <mergeCell ref="I16:L16"/>
    <mergeCell ref="G11:G12"/>
    <mergeCell ref="E13:G13"/>
    <mergeCell ref="E14:G14"/>
    <mergeCell ref="I14:L14"/>
    <mergeCell ref="I10:J10"/>
    <mergeCell ref="U24:Y26"/>
    <mergeCell ref="E15:G15"/>
    <mergeCell ref="E16:G16"/>
    <mergeCell ref="U9:Y10"/>
    <mergeCell ref="U12:Y13"/>
    <mergeCell ref="U15:Y15"/>
    <mergeCell ref="U21:Y22"/>
    <mergeCell ref="I15:L15"/>
    <mergeCell ref="E9:G9"/>
    <mergeCell ref="E10:G10"/>
    <mergeCell ref="C16:D16"/>
    <mergeCell ref="C11:E12"/>
    <mergeCell ref="C8:D8"/>
    <mergeCell ref="C9:D9"/>
    <mergeCell ref="C10:D10"/>
    <mergeCell ref="C13:D13"/>
    <mergeCell ref="C14:D14"/>
    <mergeCell ref="C15:D15"/>
    <mergeCell ref="E8:G8"/>
  </mergeCells>
  <dataValidations count="2">
    <dataValidation allowBlank="1" showInputMessage="1" showErrorMessage="1" error="Enter numbers only." sqref="K10 I43"/>
    <dataValidation type="decimal" allowBlank="1" showInputMessage="1" showErrorMessage="1" error="Enter numbers only." sqref="I17:I20">
      <formula1>0</formula1>
      <formula2>10000</formula2>
    </dataValidation>
  </dataValidations>
  <hyperlinks>
    <hyperlink ref="W17" r:id="rId1" display=" offshore@ussailing.org"/>
  </hyperlinks>
  <printOptions horizontalCentered="1"/>
  <pageMargins left="0.5" right="0.5" top="0.5" bottom="0.5" header="0.5" footer="0.5"/>
  <pageSetup fitToHeight="1" fitToWidth="1"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513"/>
  <sheetViews>
    <sheetView zoomScalePageLayoutView="0" workbookViewId="0" topLeftCell="A1">
      <selection activeCell="K5" sqref="K5"/>
    </sheetView>
  </sheetViews>
  <sheetFormatPr defaultColWidth="9.140625" defaultRowHeight="12"/>
  <cols>
    <col min="1" max="2" width="2.140625" style="15" customWidth="1"/>
    <col min="3" max="3" width="14.28125" style="15" customWidth="1"/>
    <col min="4" max="4" width="9.28125" style="15" customWidth="1"/>
    <col min="5" max="5" width="2.140625" style="15" customWidth="1"/>
    <col min="6" max="6" width="9.28125" style="15" customWidth="1"/>
    <col min="7" max="7" width="14.421875" style="15" customWidth="1"/>
    <col min="8" max="8" width="13.57421875" style="15" customWidth="1"/>
    <col min="9" max="14" width="9.28125" style="15" customWidth="1"/>
    <col min="15" max="15" width="9.28125" style="32" customWidth="1"/>
    <col min="16" max="16" width="2.140625" style="15" customWidth="1"/>
    <col min="17" max="17" width="38.57421875" style="15" customWidth="1"/>
    <col min="18" max="19" width="9.28125" style="15" customWidth="1"/>
    <col min="20" max="20" width="5.7109375" style="15" customWidth="1"/>
    <col min="21" max="21" width="11.421875" style="15" customWidth="1"/>
    <col min="22" max="24" width="9.28125" style="15" customWidth="1"/>
    <col min="25" max="25" width="2.140625" style="15" customWidth="1"/>
    <col min="26" max="36" width="11.421875" style="15" customWidth="1"/>
    <col min="37" max="16384" width="9.140625" style="15" customWidth="1"/>
  </cols>
  <sheetData>
    <row r="1" spans="2:25" ht="12.75" customHeight="1">
      <c r="B1" s="37"/>
      <c r="C1" s="37"/>
      <c r="D1" s="37"/>
      <c r="E1" s="37"/>
      <c r="G1" s="37"/>
      <c r="H1" s="37"/>
      <c r="I1" s="37"/>
      <c r="J1" s="37"/>
      <c r="K1" s="37"/>
      <c r="L1" s="37"/>
      <c r="M1" s="37"/>
      <c r="N1" s="37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6" ht="12.75" customHeight="1">
      <c r="A2" s="32"/>
      <c r="B2" s="56"/>
      <c r="C2" s="62" t="s">
        <v>62</v>
      </c>
      <c r="D2" s="43"/>
      <c r="E2" s="44"/>
      <c r="F2" s="35"/>
      <c r="G2" s="42" t="s">
        <v>62</v>
      </c>
      <c r="H2" s="43"/>
      <c r="I2" s="43"/>
      <c r="J2" s="43"/>
      <c r="K2" s="43"/>
      <c r="L2" s="43"/>
      <c r="M2" s="43"/>
      <c r="N2" s="44"/>
      <c r="O2" s="35"/>
      <c r="P2" s="42" t="s">
        <v>63</v>
      </c>
      <c r="Q2" s="43"/>
      <c r="R2" s="43"/>
      <c r="S2" s="43"/>
      <c r="T2" s="43"/>
      <c r="U2" s="43"/>
      <c r="V2" s="43"/>
      <c r="W2" s="43"/>
      <c r="X2" s="43"/>
      <c r="Y2" s="44"/>
      <c r="Z2" s="33"/>
    </row>
    <row r="3" spans="1:26" ht="12.75" customHeight="1">
      <c r="A3" s="32"/>
      <c r="B3" s="45"/>
      <c r="E3" s="48"/>
      <c r="F3" s="35"/>
      <c r="G3" s="58"/>
      <c r="H3" s="34"/>
      <c r="I3" s="34" t="s">
        <v>10</v>
      </c>
      <c r="J3" s="34" t="s">
        <v>11</v>
      </c>
      <c r="K3" s="40"/>
      <c r="M3" s="249" t="s">
        <v>46</v>
      </c>
      <c r="N3" s="250"/>
      <c r="O3" s="35"/>
      <c r="P3" s="79"/>
      <c r="Q3" s="31"/>
      <c r="R3" s="31"/>
      <c r="Y3" s="48"/>
      <c r="Z3" s="33"/>
    </row>
    <row r="4" spans="1:26" ht="12.75" customHeight="1">
      <c r="A4" s="32"/>
      <c r="B4" s="45"/>
      <c r="C4" s="247" t="s">
        <v>61</v>
      </c>
      <c r="D4" s="248"/>
      <c r="E4" s="48"/>
      <c r="F4" s="35"/>
      <c r="G4" s="53"/>
      <c r="H4" s="34" t="s">
        <v>12</v>
      </c>
      <c r="I4" s="36">
        <f>Tack_a_x</f>
        <v>0</v>
      </c>
      <c r="J4" s="36">
        <f>Tack_a_y</f>
        <v>0</v>
      </c>
      <c r="K4" s="40"/>
      <c r="M4" s="34" t="s">
        <v>10</v>
      </c>
      <c r="N4" s="46" t="s">
        <v>11</v>
      </c>
      <c r="O4" s="35"/>
      <c r="P4" s="79"/>
      <c r="Q4" s="175" t="s">
        <v>39</v>
      </c>
      <c r="R4" s="175">
        <v>69</v>
      </c>
      <c r="S4" s="7" t="s">
        <v>9</v>
      </c>
      <c r="T4" s="28"/>
      <c r="U4" s="12" t="s">
        <v>38</v>
      </c>
      <c r="V4" s="6" t="e">
        <f>SLE_Mid_x</f>
        <v>#DIV/0!</v>
      </c>
      <c r="W4" s="6" t="e">
        <f>SLE_Mid_y</f>
        <v>#DIV/0!</v>
      </c>
      <c r="X4" s="6"/>
      <c r="Y4" s="48"/>
      <c r="Z4" s="33"/>
    </row>
    <row r="5" spans="1:26" ht="12.75" customHeight="1">
      <c r="A5" s="32"/>
      <c r="B5" s="45"/>
      <c r="C5" s="9" t="s">
        <v>2</v>
      </c>
      <c r="D5" s="9">
        <f>ASLU_1</f>
        <v>0</v>
      </c>
      <c r="E5" s="48"/>
      <c r="F5" s="35"/>
      <c r="G5" s="53"/>
      <c r="H5" s="34" t="s">
        <v>13</v>
      </c>
      <c r="I5" s="36" t="e">
        <f>SF_a*COS(TAP_r-Tack_Angle_a_r)</f>
        <v>#DIV/0!</v>
      </c>
      <c r="J5" s="36" t="e">
        <f>SF_a*SIN(TAP_r-Tack_Angle_a_r)</f>
        <v>#DIV/0!</v>
      </c>
      <c r="K5" s="40"/>
      <c r="L5" s="34" t="s">
        <v>16</v>
      </c>
      <c r="M5" s="36" t="e">
        <f>MAX(I4:I27)</f>
        <v>#DIV/0!</v>
      </c>
      <c r="N5" s="47" t="e">
        <f>MAX(J4:J27)</f>
        <v>#DIV/0!</v>
      </c>
      <c r="O5" s="35"/>
      <c r="P5" s="79"/>
      <c r="Q5" s="175" t="s">
        <v>40</v>
      </c>
      <c r="R5" s="175">
        <v>0</v>
      </c>
      <c r="S5" s="178"/>
      <c r="T5" s="5"/>
      <c r="U5" s="69" t="s">
        <v>58</v>
      </c>
      <c r="V5" s="6" t="e">
        <f>SLU_Offset_Length</f>
        <v>#DIV/0!</v>
      </c>
      <c r="W5" s="6"/>
      <c r="X5" s="6"/>
      <c r="Y5" s="48"/>
      <c r="Z5" s="33"/>
    </row>
    <row r="6" spans="1:26" ht="12.75" customHeight="1">
      <c r="A6" s="32"/>
      <c r="B6" s="45"/>
      <c r="C6" s="9" t="s">
        <v>3</v>
      </c>
      <c r="D6" s="9">
        <f>ASLE_1</f>
        <v>0</v>
      </c>
      <c r="E6" s="48"/>
      <c r="F6" s="35"/>
      <c r="G6" s="53"/>
      <c r="H6" s="34" t="s">
        <v>14</v>
      </c>
      <c r="I6" s="36" t="e">
        <f>COS(TAP_r)*SLU_a</f>
        <v>#DIV/0!</v>
      </c>
      <c r="J6" s="36" t="e">
        <f>SIN(TAP_r)*SLU_a</f>
        <v>#DIV/0!</v>
      </c>
      <c r="K6" s="40"/>
      <c r="L6" s="34" t="s">
        <v>17</v>
      </c>
      <c r="M6" s="36" t="e">
        <f>MIN(I4:I27)</f>
        <v>#DIV/0!</v>
      </c>
      <c r="N6" s="47" t="e">
        <f>MIN(J4:J27)</f>
        <v>#DIV/0!</v>
      </c>
      <c r="O6" s="35"/>
      <c r="P6" s="79"/>
      <c r="Q6" s="175" t="s">
        <v>41</v>
      </c>
      <c r="R6" s="175">
        <v>0</v>
      </c>
      <c r="S6" s="178"/>
      <c r="T6" s="5"/>
      <c r="U6" s="63" t="s">
        <v>59</v>
      </c>
      <c r="V6" s="6" t="e">
        <f>W6*V5</f>
        <v>#DIV/0!</v>
      </c>
      <c r="W6" s="6">
        <v>0.75</v>
      </c>
      <c r="X6" s="6"/>
      <c r="Y6" s="48"/>
      <c r="Z6" s="33"/>
    </row>
    <row r="7" spans="1:26" ht="12.75" customHeight="1">
      <c r="A7" s="32"/>
      <c r="B7" s="45"/>
      <c r="C7" s="9" t="s">
        <v>42</v>
      </c>
      <c r="D7" s="9">
        <f>AMG_1</f>
        <v>0</v>
      </c>
      <c r="E7" s="48"/>
      <c r="F7" s="35"/>
      <c r="G7" s="58"/>
      <c r="H7" s="38"/>
      <c r="I7" s="115"/>
      <c r="J7" s="115"/>
      <c r="K7" s="57"/>
      <c r="L7" s="34" t="s">
        <v>47</v>
      </c>
      <c r="M7" s="36" t="e">
        <f>AS_data_maxx-AS_data_minx</f>
        <v>#DIV/0!</v>
      </c>
      <c r="N7" s="47" t="e">
        <f>AS_data_maxy-AS_data_miny</f>
        <v>#DIV/0!</v>
      </c>
      <c r="O7" s="35"/>
      <c r="P7" s="79"/>
      <c r="Q7" s="5"/>
      <c r="R7" s="5"/>
      <c r="S7" s="5"/>
      <c r="T7" s="5"/>
      <c r="U7" s="63" t="s">
        <v>60</v>
      </c>
      <c r="V7" s="6" t="e">
        <f>W7*V5</f>
        <v>#DIV/0!</v>
      </c>
      <c r="W7" s="6">
        <v>1.25</v>
      </c>
      <c r="X7" s="6"/>
      <c r="Y7" s="48"/>
      <c r="Z7" s="33"/>
    </row>
    <row r="8" spans="1:26" ht="12.75" customHeight="1">
      <c r="A8" s="32"/>
      <c r="B8" s="45"/>
      <c r="C8" s="9" t="s">
        <v>43</v>
      </c>
      <c r="D8" s="9">
        <f>ASF_1</f>
        <v>0</v>
      </c>
      <c r="E8" s="170"/>
      <c r="F8" s="35"/>
      <c r="G8" s="58"/>
      <c r="H8" s="34"/>
      <c r="I8" s="34" t="s">
        <v>10</v>
      </c>
      <c r="J8" s="34" t="s">
        <v>11</v>
      </c>
      <c r="K8" s="57"/>
      <c r="N8" s="48"/>
      <c r="O8" s="35"/>
      <c r="P8" s="79"/>
      <c r="Q8" s="175" t="s">
        <v>20</v>
      </c>
      <c r="R8" s="175" t="e">
        <f>IF(Assumed_Tack_Angle_d-Tack_Angle_a_d&gt;0,Assumed_Tack_Angle_d,65-2*(Assumed_Tack_Angle_d-Tack_Angle_a_d))</f>
        <v>#DIV/0!</v>
      </c>
      <c r="S8" s="7" t="s">
        <v>9</v>
      </c>
      <c r="T8" s="28"/>
      <c r="U8" s="6"/>
      <c r="V8" s="6"/>
      <c r="W8" s="6"/>
      <c r="X8" s="6"/>
      <c r="Y8" s="48"/>
      <c r="Z8" s="33"/>
    </row>
    <row r="9" spans="1:26" ht="12.75" customHeight="1">
      <c r="A9" s="32"/>
      <c r="B9" s="49"/>
      <c r="C9" s="50"/>
      <c r="D9" s="50"/>
      <c r="E9" s="51"/>
      <c r="F9" s="35"/>
      <c r="G9" s="59" t="s">
        <v>1</v>
      </c>
      <c r="H9" s="34" t="s">
        <v>12</v>
      </c>
      <c r="I9" s="36">
        <f>Tack_a_x</f>
        <v>0</v>
      </c>
      <c r="J9" s="36">
        <f>Tack_a_y</f>
        <v>0</v>
      </c>
      <c r="K9" s="57"/>
      <c r="M9" s="249" t="s">
        <v>15</v>
      </c>
      <c r="N9" s="250"/>
      <c r="O9" s="35"/>
      <c r="P9" s="80"/>
      <c r="Q9" s="175" t="s">
        <v>20</v>
      </c>
      <c r="R9" s="175" t="e">
        <f>RADIANS(TAP_d)</f>
        <v>#DIV/0!</v>
      </c>
      <c r="S9" s="7" t="s">
        <v>8</v>
      </c>
      <c r="T9" s="5"/>
      <c r="U9" s="12" t="s">
        <v>55</v>
      </c>
      <c r="V9" s="30">
        <v>0.01</v>
      </c>
      <c r="W9" s="6"/>
      <c r="X9" s="6"/>
      <c r="Y9" s="48"/>
      <c r="Z9" s="33"/>
    </row>
    <row r="10" spans="1:26" ht="12.75" customHeight="1">
      <c r="A10" s="32"/>
      <c r="B10" s="119"/>
      <c r="C10" s="119"/>
      <c r="D10" s="119"/>
      <c r="E10" s="119"/>
      <c r="F10" s="35"/>
      <c r="G10" s="59"/>
      <c r="H10" s="34" t="s">
        <v>53</v>
      </c>
      <c r="I10" s="36" t="e">
        <f>SLU_Half_Luff_a_x</f>
        <v>#DIV/0!</v>
      </c>
      <c r="J10" s="36" t="e">
        <f>SLU_Half_Luff_a_y</f>
        <v>#DIV/0!</v>
      </c>
      <c r="K10" s="57"/>
      <c r="M10" s="36" t="s">
        <v>10</v>
      </c>
      <c r="N10" s="47" t="s">
        <v>11</v>
      </c>
      <c r="O10" s="35"/>
      <c r="P10" s="79"/>
      <c r="Q10" s="175" t="s">
        <v>21</v>
      </c>
      <c r="R10" s="175" t="e">
        <f>ACOS((SF_a^2+SLU_a^2-SLE_a^2)/(2*SF_a*SLU_a))</f>
        <v>#DIV/0!</v>
      </c>
      <c r="S10" s="7" t="s">
        <v>8</v>
      </c>
      <c r="T10" s="5"/>
      <c r="U10" s="6"/>
      <c r="V10" s="6"/>
      <c r="W10" s="6"/>
      <c r="X10" s="6"/>
      <c r="Y10" s="48"/>
      <c r="Z10" s="33"/>
    </row>
    <row r="11" spans="1:26" ht="12.75" customHeight="1">
      <c r="A11" s="32"/>
      <c r="B11" s="37"/>
      <c r="C11" s="37"/>
      <c r="D11" s="37"/>
      <c r="E11" s="37"/>
      <c r="F11" s="35"/>
      <c r="G11" s="59"/>
      <c r="H11" s="34"/>
      <c r="I11" s="36" t="e">
        <f>0.37*(Head_a_x-SLU_Half_Luff_a_x)+SLU_Half_Luff_a_x</f>
        <v>#DIV/0!</v>
      </c>
      <c r="J11" s="36" t="e">
        <f>0.6*(Head_a_y-SLU_Half_Luff_a_y)+SLU_Half_Luff_a_y</f>
        <v>#DIV/0!</v>
      </c>
      <c r="K11" s="57"/>
      <c r="L11" s="34" t="s">
        <v>16</v>
      </c>
      <c r="M11" s="36" t="e">
        <f>AS_ydata_range+AS_axes_minx</f>
        <v>#DIV/0!</v>
      </c>
      <c r="N11" s="47" t="e">
        <f>MAX(J4:J27)</f>
        <v>#DIV/0!</v>
      </c>
      <c r="O11" s="35"/>
      <c r="P11" s="79"/>
      <c r="Q11" s="175" t="s">
        <v>21</v>
      </c>
      <c r="R11" s="175" t="e">
        <f>DEGREES(Tack_Angle_a_r)</f>
        <v>#DIV/0!</v>
      </c>
      <c r="S11" s="7" t="s">
        <v>9</v>
      </c>
      <c r="T11" s="5"/>
      <c r="U11" s="6"/>
      <c r="V11" s="30" t="s">
        <v>56</v>
      </c>
      <c r="W11" s="30" t="s">
        <v>10</v>
      </c>
      <c r="X11" s="30" t="s">
        <v>11</v>
      </c>
      <c r="Y11" s="48"/>
      <c r="Z11" s="33"/>
    </row>
    <row r="12" spans="1:26" ht="12.75" customHeight="1">
      <c r="A12" s="32"/>
      <c r="F12" s="35"/>
      <c r="G12" s="59"/>
      <c r="H12" s="34" t="s">
        <v>14</v>
      </c>
      <c r="I12" s="36" t="e">
        <f>Head_a_x</f>
        <v>#DIV/0!</v>
      </c>
      <c r="J12" s="36" t="e">
        <f>Head_a_y</f>
        <v>#DIV/0!</v>
      </c>
      <c r="K12" s="57"/>
      <c r="L12" s="34" t="s">
        <v>17</v>
      </c>
      <c r="M12" s="36" t="e">
        <f>-(AS_ydata_range-AS_xdata_range)/2</f>
        <v>#DIV/0!</v>
      </c>
      <c r="N12" s="47" t="e">
        <f>MIN(J4:J27)</f>
        <v>#DIV/0!</v>
      </c>
      <c r="O12" s="35"/>
      <c r="P12" s="173"/>
      <c r="Q12" s="176" t="s">
        <v>22</v>
      </c>
      <c r="R12" s="175" t="e">
        <f>ACOS((SLE_a^2+SLU_a^2-SF_a^2)/(2*SLE_a*SLU_a))</f>
        <v>#DIV/0!</v>
      </c>
      <c r="S12" s="7" t="s">
        <v>8</v>
      </c>
      <c r="T12" s="5"/>
      <c r="U12" s="12" t="s">
        <v>57</v>
      </c>
      <c r="V12" s="30" t="e">
        <f aca="true" t="shared" si="0" ref="V12:V75">SQRT((W12-SLU_Half_Luff_a_x)^2+(X12-SLU_Half_Luff_a_y)^2)</f>
        <v>#DIV/0!</v>
      </c>
      <c r="W12" s="14" t="e">
        <f>SLE_Mid_x+V6*COS(SLE_Mid_Luff_Angle_r)</f>
        <v>#DIV/0!</v>
      </c>
      <c r="X12" s="14" t="e">
        <f>SLE_Mid_y+V6*SIN(SLE_Mid_Luff_Angle_r)</f>
        <v>#DIV/0!</v>
      </c>
      <c r="Y12" s="48"/>
      <c r="Z12" s="33"/>
    </row>
    <row r="13" spans="1:26" ht="12.75" customHeight="1">
      <c r="A13" s="32"/>
      <c r="F13" s="35"/>
      <c r="G13" s="59" t="s">
        <v>0</v>
      </c>
      <c r="H13" s="34" t="s">
        <v>14</v>
      </c>
      <c r="I13" s="36" t="e">
        <f>Head_a_x</f>
        <v>#DIV/0!</v>
      </c>
      <c r="J13" s="36" t="e">
        <f>Head_a_y</f>
        <v>#DIV/0!</v>
      </c>
      <c r="K13" s="57"/>
      <c r="L13" s="38"/>
      <c r="M13" s="36" t="e">
        <f>M12-M11</f>
        <v>#DIV/0!</v>
      </c>
      <c r="N13" s="47" t="e">
        <f>N11-N12</f>
        <v>#DIV/0!</v>
      </c>
      <c r="O13" s="35"/>
      <c r="P13" s="173"/>
      <c r="Q13" s="176" t="s">
        <v>22</v>
      </c>
      <c r="R13" s="175" t="e">
        <f>DEGREES(Head_Angle_a_r)</f>
        <v>#DIV/0!</v>
      </c>
      <c r="S13" s="7" t="s">
        <v>9</v>
      </c>
      <c r="T13" s="5"/>
      <c r="U13" s="10">
        <v>1</v>
      </c>
      <c r="V13" s="30" t="e">
        <f t="shared" si="0"/>
        <v>#DIV/0!</v>
      </c>
      <c r="W13" s="14" t="e">
        <f aca="true" t="shared" si="1" ref="W13:W76">Start_for_int_x+U13*Step_Inc*COS(SLE_Mid_Luff_Angle_r)</f>
        <v>#DIV/0!</v>
      </c>
      <c r="X13" s="14" t="e">
        <f aca="true" t="shared" si="2" ref="X13:X76">Start_for_int_y+U13*Step_Inc*SIN(SLE_Mid_Luff_Angle_r)</f>
        <v>#DIV/0!</v>
      </c>
      <c r="Y13" s="48"/>
      <c r="Z13" s="33"/>
    </row>
    <row r="14" spans="1:26" ht="12.75" customHeight="1">
      <c r="A14" s="32"/>
      <c r="F14" s="35"/>
      <c r="G14" s="59"/>
      <c r="H14" s="34" t="s">
        <v>54</v>
      </c>
      <c r="I14" s="36" t="e">
        <f>SHW_Intercept_x</f>
        <v>#N/A</v>
      </c>
      <c r="J14" s="36" t="e">
        <f>SHW_Intercept_y</f>
        <v>#N/A</v>
      </c>
      <c r="K14" s="57"/>
      <c r="M14" s="249" t="s">
        <v>48</v>
      </c>
      <c r="N14" s="250"/>
      <c r="O14" s="35"/>
      <c r="P14" s="173"/>
      <c r="Q14" s="177" t="s">
        <v>18</v>
      </c>
      <c r="R14" s="175" t="e">
        <f>RADIANS(180)-Tack_Angle_a_r-Head_Angle_a_r</f>
        <v>#DIV/0!</v>
      </c>
      <c r="S14" s="7" t="s">
        <v>8</v>
      </c>
      <c r="T14" s="5"/>
      <c r="U14" s="10">
        <f aca="true" t="shared" si="3" ref="U14:U77">U13+1</f>
        <v>2</v>
      </c>
      <c r="V14" s="30" t="e">
        <f t="shared" si="0"/>
        <v>#DIV/0!</v>
      </c>
      <c r="W14" s="14" t="e">
        <f t="shared" si="1"/>
        <v>#DIV/0!</v>
      </c>
      <c r="X14" s="14" t="e">
        <f t="shared" si="2"/>
        <v>#DIV/0!</v>
      </c>
      <c r="Y14" s="48"/>
      <c r="Z14" s="33"/>
    </row>
    <row r="15" spans="1:26" ht="12.75" customHeight="1">
      <c r="A15" s="32"/>
      <c r="F15" s="35"/>
      <c r="G15" s="59"/>
      <c r="H15" s="34" t="s">
        <v>13</v>
      </c>
      <c r="I15" s="36" t="e">
        <f>Clew_a_x</f>
        <v>#DIV/0!</v>
      </c>
      <c r="J15" s="36" t="e">
        <f>Clew_a_y</f>
        <v>#DIV/0!</v>
      </c>
      <c r="K15" s="57"/>
      <c r="M15" s="34" t="s">
        <v>10</v>
      </c>
      <c r="N15" s="46" t="s">
        <v>11</v>
      </c>
      <c r="O15" s="35"/>
      <c r="P15" s="173"/>
      <c r="Q15" s="177" t="s">
        <v>18</v>
      </c>
      <c r="R15" s="175" t="e">
        <f>DEGREES(R14)</f>
        <v>#DIV/0!</v>
      </c>
      <c r="S15" s="7" t="s">
        <v>9</v>
      </c>
      <c r="T15" s="5"/>
      <c r="U15" s="10">
        <f t="shared" si="3"/>
        <v>3</v>
      </c>
      <c r="V15" s="30" t="e">
        <f t="shared" si="0"/>
        <v>#DIV/0!</v>
      </c>
      <c r="W15" s="14" t="e">
        <f t="shared" si="1"/>
        <v>#DIV/0!</v>
      </c>
      <c r="X15" s="14" t="e">
        <f t="shared" si="2"/>
        <v>#DIV/0!</v>
      </c>
      <c r="Y15" s="48"/>
      <c r="Z15" s="33"/>
    </row>
    <row r="16" spans="1:26" ht="12.75" customHeight="1">
      <c r="A16" s="32"/>
      <c r="F16" s="35"/>
      <c r="G16" s="59" t="s">
        <v>6</v>
      </c>
      <c r="H16" s="34" t="s">
        <v>13</v>
      </c>
      <c r="I16" s="36" t="e">
        <f>Clew_a_x</f>
        <v>#DIV/0!</v>
      </c>
      <c r="J16" s="36" t="e">
        <f>Clew_a_y</f>
        <v>#DIV/0!</v>
      </c>
      <c r="K16" s="57"/>
      <c r="L16" s="34" t="s">
        <v>51</v>
      </c>
      <c r="M16" s="36" t="e">
        <f>M11</f>
        <v>#DIV/0!</v>
      </c>
      <c r="N16" s="47" t="e">
        <f>AS_axes_miny</f>
        <v>#DIV/0!</v>
      </c>
      <c r="O16" s="35"/>
      <c r="P16" s="173"/>
      <c r="Q16" s="176" t="s">
        <v>23</v>
      </c>
      <c r="R16" s="175" t="e">
        <f>TAP_r-Tack_Angle_a_r</f>
        <v>#DIV/0!</v>
      </c>
      <c r="S16" s="7" t="s">
        <v>8</v>
      </c>
      <c r="T16" s="5"/>
      <c r="U16" s="10">
        <f t="shared" si="3"/>
        <v>4</v>
      </c>
      <c r="V16" s="30" t="e">
        <f t="shared" si="0"/>
        <v>#DIV/0!</v>
      </c>
      <c r="W16" s="14" t="e">
        <f t="shared" si="1"/>
        <v>#DIV/0!</v>
      </c>
      <c r="X16" s="14" t="e">
        <f t="shared" si="2"/>
        <v>#DIV/0!</v>
      </c>
      <c r="Y16" s="48"/>
      <c r="Z16" s="33"/>
    </row>
    <row r="17" spans="1:26" ht="12.75" customHeight="1">
      <c r="A17" s="32"/>
      <c r="F17" s="35"/>
      <c r="G17" s="58"/>
      <c r="H17" s="34" t="s">
        <v>25</v>
      </c>
      <c r="I17" s="36" t="e">
        <f>Foot_Offset_x</f>
        <v>#DIV/0!</v>
      </c>
      <c r="J17" s="36" t="e">
        <f>Foot_Offset_y</f>
        <v>#DIV/0!</v>
      </c>
      <c r="K17" s="57"/>
      <c r="L17" s="38"/>
      <c r="M17" s="36" t="e">
        <f>AS_axes_minx</f>
        <v>#DIV/0!</v>
      </c>
      <c r="N17" s="47" t="e">
        <f>AS_axes_miny</f>
        <v>#DIV/0!</v>
      </c>
      <c r="O17" s="35"/>
      <c r="P17" s="173"/>
      <c r="Q17" s="176" t="s">
        <v>23</v>
      </c>
      <c r="R17" s="175" t="e">
        <f>DEGREES(Clew_Height_Angle_r)</f>
        <v>#DIV/0!</v>
      </c>
      <c r="S17" s="7" t="s">
        <v>9</v>
      </c>
      <c r="T17" s="5"/>
      <c r="U17" s="10">
        <f t="shared" si="3"/>
        <v>5</v>
      </c>
      <c r="V17" s="30" t="e">
        <f t="shared" si="0"/>
        <v>#DIV/0!</v>
      </c>
      <c r="W17" s="14" t="e">
        <f t="shared" si="1"/>
        <v>#DIV/0!</v>
      </c>
      <c r="X17" s="14" t="e">
        <f t="shared" si="2"/>
        <v>#DIV/0!</v>
      </c>
      <c r="Y17" s="48"/>
      <c r="Z17" s="33"/>
    </row>
    <row r="18" spans="1:26" ht="12.75" customHeight="1">
      <c r="A18" s="32"/>
      <c r="F18" s="35"/>
      <c r="G18" s="58"/>
      <c r="H18" s="34" t="s">
        <v>12</v>
      </c>
      <c r="I18" s="36">
        <f>Tack_a_x</f>
        <v>0</v>
      </c>
      <c r="J18" s="36">
        <f>Tack_a_y</f>
        <v>0</v>
      </c>
      <c r="K18" s="57"/>
      <c r="L18" s="34" t="s">
        <v>52</v>
      </c>
      <c r="M18" s="36" t="e">
        <f>AS_axes_minx</f>
        <v>#DIV/0!</v>
      </c>
      <c r="N18" s="47" t="e">
        <f>AS_axes_miny</f>
        <v>#DIV/0!</v>
      </c>
      <c r="O18" s="35"/>
      <c r="P18" s="173"/>
      <c r="Q18" s="176" t="s">
        <v>24</v>
      </c>
      <c r="R18" s="175" t="e">
        <f>RADIANS(180)-TAP_r-Head_Angle_a_r</f>
        <v>#DIV/0!</v>
      </c>
      <c r="S18" s="7" t="s">
        <v>8</v>
      </c>
      <c r="T18" s="5"/>
      <c r="U18" s="10">
        <f t="shared" si="3"/>
        <v>6</v>
      </c>
      <c r="V18" s="30" t="e">
        <f t="shared" si="0"/>
        <v>#DIV/0!</v>
      </c>
      <c r="W18" s="14" t="e">
        <f t="shared" si="1"/>
        <v>#DIV/0!</v>
      </c>
      <c r="X18" s="14" t="e">
        <f t="shared" si="2"/>
        <v>#DIV/0!</v>
      </c>
      <c r="Y18" s="48"/>
      <c r="Z18" s="33"/>
    </row>
    <row r="19" spans="1:26" ht="12.75" customHeight="1">
      <c r="A19" s="32"/>
      <c r="F19" s="35"/>
      <c r="G19" s="58"/>
      <c r="H19" s="38"/>
      <c r="I19" s="38"/>
      <c r="J19" s="64"/>
      <c r="K19" s="40"/>
      <c r="L19" s="38"/>
      <c r="M19" s="36" t="e">
        <f>AS_axes_minx</f>
        <v>#DIV/0!</v>
      </c>
      <c r="N19" s="47" t="e">
        <f>AS_axes_maxy</f>
        <v>#DIV/0!</v>
      </c>
      <c r="O19" s="35"/>
      <c r="P19" s="173"/>
      <c r="Q19" s="176" t="s">
        <v>24</v>
      </c>
      <c r="R19" s="175" t="e">
        <f>DEGREES(Ext_SLE_Angle_r)</f>
        <v>#DIV/0!</v>
      </c>
      <c r="S19" s="7" t="s">
        <v>9</v>
      </c>
      <c r="T19" s="5"/>
      <c r="U19" s="10">
        <f t="shared" si="3"/>
        <v>7</v>
      </c>
      <c r="V19" s="30" t="e">
        <f t="shared" si="0"/>
        <v>#DIV/0!</v>
      </c>
      <c r="W19" s="14" t="e">
        <f t="shared" si="1"/>
        <v>#DIV/0!</v>
      </c>
      <c r="X19" s="14" t="e">
        <f t="shared" si="2"/>
        <v>#DIV/0!</v>
      </c>
      <c r="Y19" s="48"/>
      <c r="Z19" s="33"/>
    </row>
    <row r="20" spans="1:26" ht="12.75" customHeight="1">
      <c r="A20" s="32"/>
      <c r="B20" s="39"/>
      <c r="C20" s="39"/>
      <c r="D20" s="39"/>
      <c r="E20" s="39"/>
      <c r="F20" s="35"/>
      <c r="G20" s="59" t="s">
        <v>2</v>
      </c>
      <c r="H20" s="34" t="s">
        <v>12</v>
      </c>
      <c r="I20" s="36">
        <f>I60</f>
        <v>0</v>
      </c>
      <c r="J20" s="36">
        <f>J60</f>
        <v>0</v>
      </c>
      <c r="K20" s="40"/>
      <c r="L20" s="41"/>
      <c r="M20" s="38"/>
      <c r="N20" s="60"/>
      <c r="O20" s="35"/>
      <c r="P20" s="173"/>
      <c r="Q20" s="176" t="s">
        <v>45</v>
      </c>
      <c r="R20" s="175">
        <f>RADIANS(90)</f>
        <v>1.5707963267948966</v>
      </c>
      <c r="S20" s="174" t="s">
        <v>19</v>
      </c>
      <c r="T20" s="28"/>
      <c r="U20" s="10">
        <f t="shared" si="3"/>
        <v>8</v>
      </c>
      <c r="V20" s="30" t="e">
        <f t="shared" si="0"/>
        <v>#DIV/0!</v>
      </c>
      <c r="W20" s="14" t="e">
        <f t="shared" si="1"/>
        <v>#DIV/0!</v>
      </c>
      <c r="X20" s="14" t="e">
        <f t="shared" si="2"/>
        <v>#DIV/0!</v>
      </c>
      <c r="Y20" s="48"/>
      <c r="Z20" s="33"/>
    </row>
    <row r="21" spans="1:26" ht="12.75" customHeight="1">
      <c r="A21" s="32"/>
      <c r="F21" s="35"/>
      <c r="G21" s="59"/>
      <c r="H21" s="34" t="s">
        <v>14</v>
      </c>
      <c r="I21" s="36">
        <f>I59</f>
        <v>0</v>
      </c>
      <c r="J21" s="36">
        <f>J59</f>
        <v>0</v>
      </c>
      <c r="K21" s="40"/>
      <c r="L21" s="41"/>
      <c r="M21" s="38"/>
      <c r="N21" s="60"/>
      <c r="O21" s="35"/>
      <c r="P21" s="45"/>
      <c r="Q21" s="5"/>
      <c r="R21" s="5"/>
      <c r="S21" s="179"/>
      <c r="T21" s="5"/>
      <c r="U21" s="10">
        <f t="shared" si="3"/>
        <v>9</v>
      </c>
      <c r="V21" s="30" t="e">
        <f t="shared" si="0"/>
        <v>#DIV/0!</v>
      </c>
      <c r="W21" s="14" t="e">
        <f t="shared" si="1"/>
        <v>#DIV/0!</v>
      </c>
      <c r="X21" s="14" t="e">
        <f t="shared" si="2"/>
        <v>#DIV/0!</v>
      </c>
      <c r="Y21" s="48"/>
      <c r="Z21" s="33"/>
    </row>
    <row r="22" spans="1:26" ht="12.75" customHeight="1">
      <c r="A22" s="32"/>
      <c r="F22" s="35"/>
      <c r="G22" s="59" t="s">
        <v>3</v>
      </c>
      <c r="H22" s="34" t="s">
        <v>13</v>
      </c>
      <c r="I22" s="36">
        <f>I67</f>
        <v>0</v>
      </c>
      <c r="J22" s="115">
        <f>J67</f>
        <v>0</v>
      </c>
      <c r="K22" s="40"/>
      <c r="L22" s="41"/>
      <c r="M22" s="38"/>
      <c r="N22" s="60"/>
      <c r="O22" s="35"/>
      <c r="P22" s="173"/>
      <c r="Q22" s="177" t="s">
        <v>26</v>
      </c>
      <c r="R22" s="175" t="e">
        <f>(0.5*SF_a)*COS(Clew_Height_Angle_r)</f>
        <v>#DIV/0!</v>
      </c>
      <c r="S22" s="175" t="e">
        <f>(0.5*SF_a)*SIN(Clew_Height_Angle_r)</f>
        <v>#DIV/0!</v>
      </c>
      <c r="T22" s="5"/>
      <c r="U22" s="10">
        <f t="shared" si="3"/>
        <v>10</v>
      </c>
      <c r="V22" s="30" t="e">
        <f t="shared" si="0"/>
        <v>#DIV/0!</v>
      </c>
      <c r="W22" s="14" t="e">
        <f t="shared" si="1"/>
        <v>#DIV/0!</v>
      </c>
      <c r="X22" s="14" t="e">
        <f t="shared" si="2"/>
        <v>#DIV/0!</v>
      </c>
      <c r="Y22" s="48"/>
      <c r="Z22" s="33"/>
    </row>
    <row r="23" spans="1:26" ht="12.75" customHeight="1">
      <c r="A23" s="32"/>
      <c r="F23" s="35"/>
      <c r="G23" s="59"/>
      <c r="H23" s="34" t="s">
        <v>14</v>
      </c>
      <c r="I23" s="36">
        <f>I66</f>
        <v>0</v>
      </c>
      <c r="J23" s="115">
        <f>J66</f>
        <v>0</v>
      </c>
      <c r="K23" s="40"/>
      <c r="L23" s="41"/>
      <c r="M23" s="38"/>
      <c r="N23" s="60"/>
      <c r="O23" s="35"/>
      <c r="P23" s="173"/>
      <c r="Q23" s="177" t="s">
        <v>27</v>
      </c>
      <c r="R23" s="175">
        <v>0.04</v>
      </c>
      <c r="S23" s="180"/>
      <c r="T23" s="65"/>
      <c r="U23" s="10">
        <f t="shared" si="3"/>
        <v>11</v>
      </c>
      <c r="V23" s="30" t="e">
        <f t="shared" si="0"/>
        <v>#DIV/0!</v>
      </c>
      <c r="W23" s="14" t="e">
        <f t="shared" si="1"/>
        <v>#DIV/0!</v>
      </c>
      <c r="X23" s="14" t="e">
        <f t="shared" si="2"/>
        <v>#DIV/0!</v>
      </c>
      <c r="Y23" s="48"/>
      <c r="Z23" s="33"/>
    </row>
    <row r="24" spans="1:26" ht="12.75" customHeight="1">
      <c r="A24" s="32"/>
      <c r="F24" s="35"/>
      <c r="G24" s="59" t="s">
        <v>5</v>
      </c>
      <c r="H24" s="34" t="s">
        <v>53</v>
      </c>
      <c r="I24" s="36" t="e">
        <f>SLU_Half_Leech_Point_x</f>
        <v>#DIV/0!</v>
      </c>
      <c r="J24" s="36" t="e">
        <f>SLU_Half_Leech_Point_y</f>
        <v>#DIV/0!</v>
      </c>
      <c r="K24" s="40"/>
      <c r="L24" s="41"/>
      <c r="M24" s="38"/>
      <c r="N24" s="60"/>
      <c r="O24" s="35"/>
      <c r="P24" s="173"/>
      <c r="Q24" s="177" t="s">
        <v>28</v>
      </c>
      <c r="R24" s="175">
        <f>Foot_Offset_Factor*SF_a</f>
        <v>0</v>
      </c>
      <c r="S24" s="181"/>
      <c r="T24" s="66"/>
      <c r="U24" s="10">
        <f t="shared" si="3"/>
        <v>12</v>
      </c>
      <c r="V24" s="30" t="e">
        <f t="shared" si="0"/>
        <v>#DIV/0!</v>
      </c>
      <c r="W24" s="14" t="e">
        <f t="shared" si="1"/>
        <v>#DIV/0!</v>
      </c>
      <c r="X24" s="14" t="e">
        <f t="shared" si="2"/>
        <v>#DIV/0!</v>
      </c>
      <c r="Y24" s="48"/>
      <c r="Z24" s="33"/>
    </row>
    <row r="25" spans="1:26" ht="12.75" customHeight="1">
      <c r="A25" s="32"/>
      <c r="F25" s="35"/>
      <c r="G25" s="59"/>
      <c r="H25" s="34" t="s">
        <v>54</v>
      </c>
      <c r="I25" s="36" t="e">
        <f>SHW_Intercept_x</f>
        <v>#N/A</v>
      </c>
      <c r="J25" s="36" t="e">
        <f>SHW_Intercept_y</f>
        <v>#N/A</v>
      </c>
      <c r="K25" s="40"/>
      <c r="L25" s="41"/>
      <c r="M25" s="38"/>
      <c r="N25" s="60"/>
      <c r="O25" s="35"/>
      <c r="P25" s="173"/>
      <c r="Q25" s="177" t="s">
        <v>29</v>
      </c>
      <c r="R25" s="175" t="e">
        <f>Mid_Foot_x+(Foot_Offset_Distance*COS(Clew_Height_Angle_r+RADIANS(-90)))</f>
        <v>#DIV/0!</v>
      </c>
      <c r="S25" s="175" t="e">
        <f>Mid_Foot_y+(Foot_Offset_Distance*SIN(Clew_Height_Angle_r+RADIANS(-90)))</f>
        <v>#DIV/0!</v>
      </c>
      <c r="T25" s="66"/>
      <c r="U25" s="10">
        <f t="shared" si="3"/>
        <v>13</v>
      </c>
      <c r="V25" s="30" t="e">
        <f t="shared" si="0"/>
        <v>#DIV/0!</v>
      </c>
      <c r="W25" s="14" t="e">
        <f t="shared" si="1"/>
        <v>#DIV/0!</v>
      </c>
      <c r="X25" s="14" t="e">
        <f t="shared" si="2"/>
        <v>#DIV/0!</v>
      </c>
      <c r="Y25" s="48"/>
      <c r="Z25" s="33"/>
    </row>
    <row r="26" spans="1:26" ht="12.75" customHeight="1">
      <c r="A26" s="32"/>
      <c r="F26" s="55"/>
      <c r="G26" s="59" t="s">
        <v>7</v>
      </c>
      <c r="H26" s="34" t="s">
        <v>12</v>
      </c>
      <c r="I26" s="36">
        <f>I74</f>
        <v>0</v>
      </c>
      <c r="J26" s="115">
        <f>J74</f>
        <v>0</v>
      </c>
      <c r="K26" s="40"/>
      <c r="L26" s="41"/>
      <c r="M26" s="38"/>
      <c r="N26" s="60"/>
      <c r="O26" s="35"/>
      <c r="P26" s="45"/>
      <c r="Q26" s="183"/>
      <c r="R26" s="184"/>
      <c r="S26" s="182"/>
      <c r="T26" s="66"/>
      <c r="U26" s="10">
        <f t="shared" si="3"/>
        <v>14</v>
      </c>
      <c r="V26" s="30" t="e">
        <f t="shared" si="0"/>
        <v>#DIV/0!</v>
      </c>
      <c r="W26" s="14" t="e">
        <f t="shared" si="1"/>
        <v>#DIV/0!</v>
      </c>
      <c r="X26" s="14" t="e">
        <f t="shared" si="2"/>
        <v>#DIV/0!</v>
      </c>
      <c r="Y26" s="48"/>
      <c r="Z26" s="33"/>
    </row>
    <row r="27" spans="1:26" ht="12.75" customHeight="1">
      <c r="A27" s="32"/>
      <c r="F27" s="55"/>
      <c r="G27" s="74"/>
      <c r="H27" s="61" t="s">
        <v>13</v>
      </c>
      <c r="I27" s="54">
        <f>I73</f>
        <v>0</v>
      </c>
      <c r="J27" s="116">
        <f>J73</f>
        <v>0</v>
      </c>
      <c r="K27" s="75"/>
      <c r="L27" s="76"/>
      <c r="M27" s="77"/>
      <c r="N27" s="78"/>
      <c r="O27" s="35"/>
      <c r="P27" s="173"/>
      <c r="Q27" s="177" t="s">
        <v>30</v>
      </c>
      <c r="R27" s="175" t="e">
        <f>1.7*(SHW_a/SF_a)*(SHW_a/SLU_a)*0.15</f>
        <v>#DIV/0!</v>
      </c>
      <c r="S27" s="16"/>
      <c r="T27" s="66"/>
      <c r="U27" s="10">
        <f t="shared" si="3"/>
        <v>15</v>
      </c>
      <c r="V27" s="30" t="e">
        <f t="shared" si="0"/>
        <v>#DIV/0!</v>
      </c>
      <c r="W27" s="14" t="e">
        <f t="shared" si="1"/>
        <v>#DIV/0!</v>
      </c>
      <c r="X27" s="14" t="e">
        <f t="shared" si="2"/>
        <v>#DIV/0!</v>
      </c>
      <c r="Y27" s="48"/>
      <c r="Z27" s="33"/>
    </row>
    <row r="28" spans="1:26" ht="12.75" customHeight="1">
      <c r="A28" s="32"/>
      <c r="F28" s="35"/>
      <c r="G28" s="120"/>
      <c r="H28" s="120"/>
      <c r="I28" s="121"/>
      <c r="J28" s="122"/>
      <c r="K28" s="123"/>
      <c r="L28" s="121"/>
      <c r="M28" s="122"/>
      <c r="N28" s="122"/>
      <c r="O28" s="35"/>
      <c r="P28" s="173"/>
      <c r="Q28" s="177" t="s">
        <v>31</v>
      </c>
      <c r="R28" s="175" t="e">
        <f>SLU_Offset_to_Half_Leech_Factor*SLU_a</f>
        <v>#DIV/0!</v>
      </c>
      <c r="S28" s="181"/>
      <c r="T28" s="66"/>
      <c r="U28" s="10">
        <f t="shared" si="3"/>
        <v>16</v>
      </c>
      <c r="V28" s="30" t="e">
        <f t="shared" si="0"/>
        <v>#DIV/0!</v>
      </c>
      <c r="W28" s="14" t="e">
        <f t="shared" si="1"/>
        <v>#DIV/0!</v>
      </c>
      <c r="X28" s="14" t="e">
        <f t="shared" si="2"/>
        <v>#DIV/0!</v>
      </c>
      <c r="Y28" s="48"/>
      <c r="Z28" s="33"/>
    </row>
    <row r="29" spans="1:26" ht="12.75" customHeight="1">
      <c r="A29" s="32"/>
      <c r="F29" s="35"/>
      <c r="G29" s="72"/>
      <c r="H29" s="72"/>
      <c r="I29" s="73"/>
      <c r="J29" s="127"/>
      <c r="K29" s="127"/>
      <c r="L29" s="127"/>
      <c r="M29" s="127"/>
      <c r="N29" s="127"/>
      <c r="O29" s="35"/>
      <c r="P29" s="173"/>
      <c r="Q29" s="177" t="s">
        <v>32</v>
      </c>
      <c r="R29" s="175" t="e">
        <f>0.5*SLU_a*COS(TAP_r)</f>
        <v>#DIV/0!</v>
      </c>
      <c r="S29" s="175" t="e">
        <f>0.5*SLU_a*SIN(TAP_r)</f>
        <v>#DIV/0!</v>
      </c>
      <c r="T29" s="66"/>
      <c r="U29" s="10">
        <f t="shared" si="3"/>
        <v>17</v>
      </c>
      <c r="V29" s="30" t="e">
        <f t="shared" si="0"/>
        <v>#DIV/0!</v>
      </c>
      <c r="W29" s="14" t="e">
        <f t="shared" si="1"/>
        <v>#DIV/0!</v>
      </c>
      <c r="X29" s="14" t="e">
        <f t="shared" si="2"/>
        <v>#DIV/0!</v>
      </c>
      <c r="Y29" s="48"/>
      <c r="Z29" s="33"/>
    </row>
    <row r="30" spans="1:26" ht="12.75" customHeight="1">
      <c r="A30" s="32"/>
      <c r="F30" s="35"/>
      <c r="G30" s="125" t="s">
        <v>80</v>
      </c>
      <c r="H30" s="125"/>
      <c r="I30" s="114" t="s">
        <v>10</v>
      </c>
      <c r="J30" s="114" t="s">
        <v>11</v>
      </c>
      <c r="K30" s="125"/>
      <c r="L30" s="125"/>
      <c r="M30" s="125"/>
      <c r="N30" s="125"/>
      <c r="O30" s="35"/>
      <c r="P30" s="173"/>
      <c r="Q30" s="177" t="s">
        <v>33</v>
      </c>
      <c r="R30" s="175" t="e">
        <f>SQRT((0.5*SLU_a)^2+SLU_Offset_Length^2)*COS(TAP_r+ATAN(SLU_Offset_Length/(0.5*SLU_a)))</f>
        <v>#DIV/0!</v>
      </c>
      <c r="S30" s="175" t="e">
        <f>SQRT((0.5*SLU_a)^2+SLU_Offset_Length^2)*SIN(TAP_r+ATAN(SLU_Offset_Length/(0.5*SLU_a)))</f>
        <v>#DIV/0!</v>
      </c>
      <c r="T30" s="66"/>
      <c r="U30" s="10">
        <f t="shared" si="3"/>
        <v>18</v>
      </c>
      <c r="V30" s="30" t="e">
        <f t="shared" si="0"/>
        <v>#DIV/0!</v>
      </c>
      <c r="W30" s="14" t="e">
        <f t="shared" si="1"/>
        <v>#DIV/0!</v>
      </c>
      <c r="X30" s="14" t="e">
        <f t="shared" si="2"/>
        <v>#DIV/0!</v>
      </c>
      <c r="Y30" s="48"/>
      <c r="Z30" s="33"/>
    </row>
    <row r="31" spans="1:26" ht="12.75" customHeight="1">
      <c r="A31" s="32"/>
      <c r="F31" s="35"/>
      <c r="G31" s="125"/>
      <c r="H31" s="125"/>
      <c r="I31" s="125"/>
      <c r="J31" s="125"/>
      <c r="K31" s="125"/>
      <c r="L31" s="125"/>
      <c r="M31" s="125"/>
      <c r="N31" s="125"/>
      <c r="O31" s="35"/>
      <c r="P31" s="45"/>
      <c r="Q31" s="5"/>
      <c r="R31" s="184"/>
      <c r="S31" s="182"/>
      <c r="T31" s="66"/>
      <c r="U31" s="10">
        <f t="shared" si="3"/>
        <v>19</v>
      </c>
      <c r="V31" s="30" t="e">
        <f t="shared" si="0"/>
        <v>#DIV/0!</v>
      </c>
      <c r="W31" s="14" t="e">
        <f t="shared" si="1"/>
        <v>#DIV/0!</v>
      </c>
      <c r="X31" s="14" t="e">
        <f t="shared" si="2"/>
        <v>#DIV/0!</v>
      </c>
      <c r="Y31" s="48"/>
      <c r="Z31" s="33"/>
    </row>
    <row r="32" spans="1:26" ht="12.75" customHeight="1">
      <c r="A32" s="32"/>
      <c r="F32" s="35"/>
      <c r="G32" s="189">
        <f>IF(AND(SLU_a&gt;0,SLE_a&gt;0,SHW_a&gt;0,SF_a&gt;0),"Luff Length","")</f>
      </c>
      <c r="H32" s="125" t="s">
        <v>74</v>
      </c>
      <c r="I32" s="187" t="e">
        <f>ASIN((Head_a_y-Tack_a_y)/SLU_a)</f>
        <v>#DIV/0!</v>
      </c>
      <c r="J32" s="187"/>
      <c r="K32" s="125"/>
      <c r="L32" s="125"/>
      <c r="M32" s="125"/>
      <c r="N32" s="125"/>
      <c r="O32" s="35"/>
      <c r="P32" s="173"/>
      <c r="Q32" s="176" t="s">
        <v>34</v>
      </c>
      <c r="R32" s="175">
        <v>0.5</v>
      </c>
      <c r="S32" s="67"/>
      <c r="T32" s="66"/>
      <c r="U32" s="10">
        <f t="shared" si="3"/>
        <v>20</v>
      </c>
      <c r="V32" s="30" t="e">
        <f t="shared" si="0"/>
        <v>#DIV/0!</v>
      </c>
      <c r="W32" s="14" t="e">
        <f t="shared" si="1"/>
        <v>#DIV/0!</v>
      </c>
      <c r="X32" s="14" t="e">
        <f t="shared" si="2"/>
        <v>#DIV/0!</v>
      </c>
      <c r="Y32" s="48"/>
      <c r="Z32" s="33"/>
    </row>
    <row r="33" spans="1:26" ht="12.75" customHeight="1">
      <c r="A33" s="32"/>
      <c r="F33" s="35"/>
      <c r="G33" s="172"/>
      <c r="H33" s="125" t="s">
        <v>73</v>
      </c>
      <c r="I33" s="187" t="e">
        <f>DEGREES(I32)</f>
        <v>#DIV/0!</v>
      </c>
      <c r="J33" s="187"/>
      <c r="K33" s="125"/>
      <c r="L33" s="125"/>
      <c r="M33" s="125"/>
      <c r="N33" s="125"/>
      <c r="O33" s="35"/>
      <c r="P33" s="173"/>
      <c r="Q33" s="176" t="s">
        <v>35</v>
      </c>
      <c r="R33" s="175">
        <f>SLE_Mid_Ext_Factor*SLE_a</f>
        <v>0</v>
      </c>
      <c r="S33" s="67"/>
      <c r="T33" s="66"/>
      <c r="U33" s="10">
        <f t="shared" si="3"/>
        <v>21</v>
      </c>
      <c r="V33" s="30" t="e">
        <f t="shared" si="0"/>
        <v>#DIV/0!</v>
      </c>
      <c r="W33" s="14" t="e">
        <f t="shared" si="1"/>
        <v>#DIV/0!</v>
      </c>
      <c r="X33" s="14" t="e">
        <f t="shared" si="2"/>
        <v>#DIV/0!</v>
      </c>
      <c r="Y33" s="48"/>
      <c r="Z33" s="33"/>
    </row>
    <row r="34" spans="1:26" ht="12.75" customHeight="1">
      <c r="A34" s="32"/>
      <c r="F34" s="35"/>
      <c r="H34" s="125"/>
      <c r="I34" s="187" t="e">
        <f>I35*SLU_a*COS(I32)+I20</f>
        <v>#DIV/0!</v>
      </c>
      <c r="J34" s="187" t="e">
        <f>I35*SLU_a*SIN(I32)+J20</f>
        <v>#DIV/0!</v>
      </c>
      <c r="K34" s="125"/>
      <c r="L34" s="125"/>
      <c r="M34" s="125"/>
      <c r="N34" s="125"/>
      <c r="O34" s="35"/>
      <c r="P34" s="173"/>
      <c r="Q34" s="177" t="s">
        <v>36</v>
      </c>
      <c r="R34" s="175" t="e">
        <f>RADIANS(180)-Ext_SLE_Angle_r-RADIANS(90)</f>
        <v>#DIV/0!</v>
      </c>
      <c r="S34" s="185"/>
      <c r="T34" s="5"/>
      <c r="U34" s="10">
        <f t="shared" si="3"/>
        <v>22</v>
      </c>
      <c r="V34" s="30" t="e">
        <f t="shared" si="0"/>
        <v>#DIV/0!</v>
      </c>
      <c r="W34" s="14" t="e">
        <f t="shared" si="1"/>
        <v>#DIV/0!</v>
      </c>
      <c r="X34" s="14" t="e">
        <f t="shared" si="2"/>
        <v>#DIV/0!</v>
      </c>
      <c r="Y34" s="48"/>
      <c r="Z34" s="33"/>
    </row>
    <row r="35" spans="1:26" ht="12.75" customHeight="1">
      <c r="A35" s="32"/>
      <c r="F35" s="35"/>
      <c r="H35" s="125" t="s">
        <v>76</v>
      </c>
      <c r="I35" s="187">
        <v>0.65</v>
      </c>
      <c r="J35" s="187"/>
      <c r="K35" s="125"/>
      <c r="L35" s="125"/>
      <c r="M35" s="125"/>
      <c r="N35" s="125"/>
      <c r="O35" s="35"/>
      <c r="P35" s="173"/>
      <c r="Q35" s="176" t="s">
        <v>37</v>
      </c>
      <c r="R35" s="175" t="e">
        <f>SLE_Mid_x+SLE_Mid_Ext_Distance*COS(SLE_Mid_Luff_Angle_r)</f>
        <v>#DIV/0!</v>
      </c>
      <c r="S35" s="175" t="e">
        <f>SLE_Mid_y+SLE_Mid_Ext_Distance*SIN(SLE_Mid_Luff_Angle_r)</f>
        <v>#DIV/0!</v>
      </c>
      <c r="T35" s="5"/>
      <c r="U35" s="10">
        <f t="shared" si="3"/>
        <v>23</v>
      </c>
      <c r="V35" s="30" t="e">
        <f t="shared" si="0"/>
        <v>#DIV/0!</v>
      </c>
      <c r="W35" s="14" t="e">
        <f t="shared" si="1"/>
        <v>#DIV/0!</v>
      </c>
      <c r="X35" s="14" t="e">
        <f t="shared" si="2"/>
        <v>#DIV/0!</v>
      </c>
      <c r="Y35" s="48"/>
      <c r="Z35" s="33"/>
    </row>
    <row r="36" spans="1:26" ht="12.75" customHeight="1">
      <c r="A36" s="32"/>
      <c r="F36" s="35"/>
      <c r="H36" s="125"/>
      <c r="I36" s="187"/>
      <c r="J36" s="187"/>
      <c r="K36" s="125"/>
      <c r="L36" s="125"/>
      <c r="M36" s="125"/>
      <c r="N36" s="125"/>
      <c r="O36" s="35"/>
      <c r="P36" s="173"/>
      <c r="Q36" s="177" t="s">
        <v>38</v>
      </c>
      <c r="R36" s="175" t="e">
        <f>'Calcs-1'!I5-(0.5*SLE_a)*COS(Ext_SLE_Angle_r)</f>
        <v>#DIV/0!</v>
      </c>
      <c r="S36" s="175" t="e">
        <f>'Calcs-1'!J5+(0.5*SLE_a)*SIN(Ext_SLE_Angle_r)</f>
        <v>#DIV/0!</v>
      </c>
      <c r="T36" s="5"/>
      <c r="U36" s="10">
        <f t="shared" si="3"/>
        <v>24</v>
      </c>
      <c r="V36" s="30" t="e">
        <f t="shared" si="0"/>
        <v>#DIV/0!</v>
      </c>
      <c r="W36" s="14" t="e">
        <f t="shared" si="1"/>
        <v>#DIV/0!</v>
      </c>
      <c r="X36" s="14" t="e">
        <f t="shared" si="2"/>
        <v>#DIV/0!</v>
      </c>
      <c r="Y36" s="48"/>
      <c r="Z36" s="33"/>
    </row>
    <row r="37" spans="1:26" ht="12.75" customHeight="1">
      <c r="A37" s="124"/>
      <c r="B37" s="125"/>
      <c r="C37" s="125"/>
      <c r="D37" s="125"/>
      <c r="E37" s="125"/>
      <c r="F37" s="126"/>
      <c r="G37" s="171">
        <f>IF(AND(SLU_a&gt;0,SLE_a&gt;0,SHW_a&gt;0,SF_a&gt;0),"Leech Length","")</f>
      </c>
      <c r="H37" s="125" t="s">
        <v>74</v>
      </c>
      <c r="I37" s="187" t="e">
        <f>TAP_r+Head_Angle_a_r</f>
        <v>#DIV/0!</v>
      </c>
      <c r="J37" s="187"/>
      <c r="K37" s="125"/>
      <c r="L37" s="125"/>
      <c r="M37" s="125"/>
      <c r="N37" s="125"/>
      <c r="O37" s="126"/>
      <c r="P37" s="45"/>
      <c r="Q37" s="5"/>
      <c r="R37" s="5"/>
      <c r="S37" s="5"/>
      <c r="T37" s="5"/>
      <c r="U37" s="10">
        <f t="shared" si="3"/>
        <v>25</v>
      </c>
      <c r="V37" s="30" t="e">
        <f t="shared" si="0"/>
        <v>#DIV/0!</v>
      </c>
      <c r="W37" s="14" t="e">
        <f t="shared" si="1"/>
        <v>#DIV/0!</v>
      </c>
      <c r="X37" s="14" t="e">
        <f t="shared" si="2"/>
        <v>#DIV/0!</v>
      </c>
      <c r="Y37" s="48"/>
      <c r="Z37" s="33"/>
    </row>
    <row r="38" spans="1:26" ht="12.75" customHeight="1">
      <c r="A38" s="124"/>
      <c r="B38" s="125"/>
      <c r="C38" s="125"/>
      <c r="D38" s="125"/>
      <c r="E38" s="125"/>
      <c r="F38" s="126"/>
      <c r="G38" s="125"/>
      <c r="H38" s="125" t="s">
        <v>73</v>
      </c>
      <c r="I38" s="187" t="e">
        <f>DEGREES(I37)</f>
        <v>#DIV/0!</v>
      </c>
      <c r="J38" s="187"/>
      <c r="K38" s="125"/>
      <c r="L38" s="125"/>
      <c r="M38" s="125"/>
      <c r="N38" s="125"/>
      <c r="O38" s="126"/>
      <c r="P38" s="173"/>
      <c r="Q38" s="177" t="s">
        <v>49</v>
      </c>
      <c r="R38" s="186" t="e">
        <f>VLOOKUP(SHW_a,V13:X512,2)</f>
        <v>#N/A</v>
      </c>
      <c r="S38" s="186" t="e">
        <f>VLOOKUP(SHW_a,V13:X512,3)</f>
        <v>#N/A</v>
      </c>
      <c r="T38" s="5"/>
      <c r="U38" s="10">
        <f t="shared" si="3"/>
        <v>26</v>
      </c>
      <c r="V38" s="30" t="e">
        <f t="shared" si="0"/>
        <v>#DIV/0!</v>
      </c>
      <c r="W38" s="14" t="e">
        <f t="shared" si="1"/>
        <v>#DIV/0!</v>
      </c>
      <c r="X38" s="14" t="e">
        <f t="shared" si="2"/>
        <v>#DIV/0!</v>
      </c>
      <c r="Y38" s="48"/>
      <c r="Z38" s="33"/>
    </row>
    <row r="39" spans="1:26" ht="12.75" customHeight="1">
      <c r="A39" s="125"/>
      <c r="B39" s="125"/>
      <c r="C39" s="125"/>
      <c r="D39" s="125"/>
      <c r="E39" s="125"/>
      <c r="F39" s="124"/>
      <c r="I39" s="187" t="e">
        <f>I40*SLE_a*COS(I37)+I22</f>
        <v>#DIV/0!</v>
      </c>
      <c r="J39" s="187" t="e">
        <f>I40*SLE_a*SIN(I37)+J22</f>
        <v>#DIV/0!</v>
      </c>
      <c r="K39" s="125"/>
      <c r="L39" s="125"/>
      <c r="M39" s="125"/>
      <c r="N39" s="125"/>
      <c r="O39" s="126"/>
      <c r="P39" s="45"/>
      <c r="Q39" s="5"/>
      <c r="R39" s="5"/>
      <c r="S39" s="5"/>
      <c r="T39" s="5"/>
      <c r="U39" s="10">
        <f t="shared" si="3"/>
        <v>27</v>
      </c>
      <c r="V39" s="30" t="e">
        <f t="shared" si="0"/>
        <v>#DIV/0!</v>
      </c>
      <c r="W39" s="14" t="e">
        <f t="shared" si="1"/>
        <v>#DIV/0!</v>
      </c>
      <c r="X39" s="14" t="e">
        <f t="shared" si="2"/>
        <v>#DIV/0!</v>
      </c>
      <c r="Y39" s="48"/>
      <c r="Z39" s="33"/>
    </row>
    <row r="40" spans="1:26" ht="12.75">
      <c r="A40" s="124"/>
      <c r="B40" s="125"/>
      <c r="C40" s="125"/>
      <c r="D40" s="125"/>
      <c r="E40" s="125"/>
      <c r="F40" s="126"/>
      <c r="H40" s="125" t="s">
        <v>76</v>
      </c>
      <c r="I40" s="187">
        <v>0.6</v>
      </c>
      <c r="K40" s="125"/>
      <c r="L40" s="125"/>
      <c r="M40" s="125"/>
      <c r="N40" s="125"/>
      <c r="O40" s="126"/>
      <c r="P40" s="173"/>
      <c r="Q40" s="177" t="s">
        <v>42</v>
      </c>
      <c r="R40" s="186">
        <f>SHW_a</f>
        <v>0</v>
      </c>
      <c r="S40" s="24"/>
      <c r="T40" s="5"/>
      <c r="U40" s="10">
        <f t="shared" si="3"/>
        <v>28</v>
      </c>
      <c r="V40" s="30" t="e">
        <f t="shared" si="0"/>
        <v>#DIV/0!</v>
      </c>
      <c r="W40" s="14" t="e">
        <f t="shared" si="1"/>
        <v>#DIV/0!</v>
      </c>
      <c r="X40" s="14" t="e">
        <f t="shared" si="2"/>
        <v>#DIV/0!</v>
      </c>
      <c r="Y40" s="48"/>
      <c r="Z40" s="33"/>
    </row>
    <row r="41" spans="1:26" ht="12.75">
      <c r="A41" s="124"/>
      <c r="B41" s="125"/>
      <c r="C41" s="125"/>
      <c r="D41" s="125"/>
      <c r="E41" s="125"/>
      <c r="F41" s="126"/>
      <c r="K41" s="125"/>
      <c r="L41" s="125"/>
      <c r="M41" s="125"/>
      <c r="N41" s="125"/>
      <c r="O41" s="126"/>
      <c r="P41" s="173"/>
      <c r="Q41" s="176" t="s">
        <v>50</v>
      </c>
      <c r="R41" s="186" t="e">
        <f>VLOOKUP(SHW_a,V13:X512,1)</f>
        <v>#N/A</v>
      </c>
      <c r="S41" s="24"/>
      <c r="T41" s="5"/>
      <c r="U41" s="10">
        <f t="shared" si="3"/>
        <v>29</v>
      </c>
      <c r="V41" s="30" t="e">
        <f t="shared" si="0"/>
        <v>#DIV/0!</v>
      </c>
      <c r="W41" s="14" t="e">
        <f t="shared" si="1"/>
        <v>#DIV/0!</v>
      </c>
      <c r="X41" s="14" t="e">
        <f t="shared" si="2"/>
        <v>#DIV/0!</v>
      </c>
      <c r="Y41" s="48"/>
      <c r="Z41" s="33"/>
    </row>
    <row r="42" spans="1:26" ht="12.75">
      <c r="A42" s="124"/>
      <c r="B42" s="125"/>
      <c r="C42" s="125"/>
      <c r="D42" s="125"/>
      <c r="E42" s="125"/>
      <c r="F42" s="126"/>
      <c r="G42" s="171">
        <f>IF(AND(SLU_a&gt;0,SLE_a&gt;0,SHW_a&gt;0,SF_a&gt;0),"Half Width","")</f>
      </c>
      <c r="H42" s="125" t="s">
        <v>74</v>
      </c>
      <c r="I42" s="187" t="e">
        <f>ASIN((SLE_Half_Luff_y-SLU_Half_Luff_a_y)/SHW_a)</f>
        <v>#N/A</v>
      </c>
      <c r="J42" s="187"/>
      <c r="K42" s="125"/>
      <c r="L42" s="125"/>
      <c r="M42" s="125"/>
      <c r="N42" s="125"/>
      <c r="O42" s="126"/>
      <c r="P42" s="45"/>
      <c r="Q42" s="68"/>
      <c r="R42" s="26"/>
      <c r="S42" s="27"/>
      <c r="T42" s="5"/>
      <c r="U42" s="10">
        <f t="shared" si="3"/>
        <v>30</v>
      </c>
      <c r="V42" s="30" t="e">
        <f t="shared" si="0"/>
        <v>#DIV/0!</v>
      </c>
      <c r="W42" s="14" t="e">
        <f t="shared" si="1"/>
        <v>#DIV/0!</v>
      </c>
      <c r="X42" s="14" t="e">
        <f t="shared" si="2"/>
        <v>#DIV/0!</v>
      </c>
      <c r="Y42" s="48"/>
      <c r="Z42" s="33"/>
    </row>
    <row r="43" spans="1:26" ht="12.75">
      <c r="A43" s="124"/>
      <c r="B43" s="125"/>
      <c r="C43" s="125"/>
      <c r="D43" s="125"/>
      <c r="E43" s="125"/>
      <c r="F43" s="126"/>
      <c r="G43" s="125"/>
      <c r="H43" s="125" t="s">
        <v>73</v>
      </c>
      <c r="I43" s="187" t="e">
        <f>DEGREES(I42)</f>
        <v>#N/A</v>
      </c>
      <c r="J43" s="187"/>
      <c r="K43" s="125"/>
      <c r="L43" s="125"/>
      <c r="M43" s="125"/>
      <c r="N43" s="125"/>
      <c r="O43" s="126"/>
      <c r="P43" s="45"/>
      <c r="Q43" s="6"/>
      <c r="R43" s="21"/>
      <c r="S43" s="21"/>
      <c r="T43" s="5"/>
      <c r="U43" s="10">
        <f t="shared" si="3"/>
        <v>31</v>
      </c>
      <c r="V43" s="30" t="e">
        <f t="shared" si="0"/>
        <v>#DIV/0!</v>
      </c>
      <c r="W43" s="14" t="e">
        <f t="shared" si="1"/>
        <v>#DIV/0!</v>
      </c>
      <c r="X43" s="14" t="e">
        <f t="shared" si="2"/>
        <v>#DIV/0!</v>
      </c>
      <c r="Y43" s="48"/>
      <c r="Z43" s="33"/>
    </row>
    <row r="44" spans="1:26" ht="12.75">
      <c r="A44" s="124"/>
      <c r="B44" s="125"/>
      <c r="C44" s="125"/>
      <c r="D44" s="125"/>
      <c r="E44" s="125"/>
      <c r="F44" s="126"/>
      <c r="G44" s="125"/>
      <c r="H44" s="125" t="s">
        <v>25</v>
      </c>
      <c r="I44" s="187" t="e">
        <f>0.5*SHW_a*COS(I$42)+SLU_Half_Luff_a_x</f>
        <v>#N/A</v>
      </c>
      <c r="J44" s="187" t="e">
        <f>0.5*SHW_a*SIN(I$42)+SLU_Half_Luff_a_y</f>
        <v>#N/A</v>
      </c>
      <c r="K44" s="125"/>
      <c r="L44" s="125"/>
      <c r="M44" s="125"/>
      <c r="N44" s="125"/>
      <c r="O44" s="126"/>
      <c r="P44" s="45"/>
      <c r="Q44" s="18"/>
      <c r="R44" s="21"/>
      <c r="S44" s="21"/>
      <c r="T44" s="69"/>
      <c r="U44" s="10">
        <f t="shared" si="3"/>
        <v>32</v>
      </c>
      <c r="V44" s="30" t="e">
        <f t="shared" si="0"/>
        <v>#DIV/0!</v>
      </c>
      <c r="W44" s="14" t="e">
        <f t="shared" si="1"/>
        <v>#DIV/0!</v>
      </c>
      <c r="X44" s="14" t="e">
        <f t="shared" si="2"/>
        <v>#DIV/0!</v>
      </c>
      <c r="Y44" s="48"/>
      <c r="Z44" s="33"/>
    </row>
    <row r="45" spans="1:26" ht="12.75">
      <c r="A45" s="124"/>
      <c r="B45" s="125"/>
      <c r="C45" s="125"/>
      <c r="D45" s="125"/>
      <c r="E45" s="125"/>
      <c r="F45" s="126"/>
      <c r="G45" s="125"/>
      <c r="H45" s="15" t="s">
        <v>76</v>
      </c>
      <c r="I45" s="188">
        <v>0.9</v>
      </c>
      <c r="J45" s="188"/>
      <c r="K45" s="125"/>
      <c r="L45" s="125"/>
      <c r="M45" s="125"/>
      <c r="N45" s="125"/>
      <c r="O45" s="126"/>
      <c r="P45" s="45"/>
      <c r="Q45" s="191" t="s">
        <v>100</v>
      </c>
      <c r="R45" s="175" t="e">
        <f>TAP_r+Radians_90</f>
        <v>#DIV/0!</v>
      </c>
      <c r="S45" s="7" t="s">
        <v>8</v>
      </c>
      <c r="T45" s="5"/>
      <c r="U45" s="10">
        <f t="shared" si="3"/>
        <v>33</v>
      </c>
      <c r="V45" s="30" t="e">
        <f t="shared" si="0"/>
        <v>#DIV/0!</v>
      </c>
      <c r="W45" s="14" t="e">
        <f t="shared" si="1"/>
        <v>#DIV/0!</v>
      </c>
      <c r="X45" s="14" t="e">
        <f t="shared" si="2"/>
        <v>#DIV/0!</v>
      </c>
      <c r="Y45" s="48"/>
      <c r="Z45" s="33"/>
    </row>
    <row r="46" spans="1:26" ht="12.75">
      <c r="A46" s="124"/>
      <c r="B46" s="125"/>
      <c r="C46" s="125"/>
      <c r="D46" s="125"/>
      <c r="E46" s="125"/>
      <c r="F46" s="126"/>
      <c r="H46" s="125" t="s">
        <v>75</v>
      </c>
      <c r="I46" s="187" t="e">
        <f>SHW_mid_x</f>
        <v>#N/A</v>
      </c>
      <c r="J46" s="187" t="e">
        <f>I45*SHW_mid_y</f>
        <v>#N/A</v>
      </c>
      <c r="K46" s="125"/>
      <c r="L46" s="125"/>
      <c r="M46" s="125"/>
      <c r="N46" s="125"/>
      <c r="O46" s="126"/>
      <c r="P46" s="45"/>
      <c r="Q46" s="191" t="s">
        <v>100</v>
      </c>
      <c r="R46" s="175" t="e">
        <f>DEGREES(R45)</f>
        <v>#DIV/0!</v>
      </c>
      <c r="S46" s="7" t="s">
        <v>9</v>
      </c>
      <c r="T46" s="70"/>
      <c r="U46" s="10">
        <f t="shared" si="3"/>
        <v>34</v>
      </c>
      <c r="V46" s="30" t="e">
        <f t="shared" si="0"/>
        <v>#DIV/0!</v>
      </c>
      <c r="W46" s="14" t="e">
        <f t="shared" si="1"/>
        <v>#DIV/0!</v>
      </c>
      <c r="X46" s="14" t="e">
        <f t="shared" si="2"/>
        <v>#DIV/0!</v>
      </c>
      <c r="Y46" s="48"/>
      <c r="Z46" s="33"/>
    </row>
    <row r="47" spans="1:26" ht="12.75">
      <c r="A47" s="124"/>
      <c r="B47" s="125"/>
      <c r="C47" s="125"/>
      <c r="D47" s="125"/>
      <c r="E47" s="125"/>
      <c r="F47" s="126"/>
      <c r="G47" s="125"/>
      <c r="H47" s="125"/>
      <c r="I47" s="187"/>
      <c r="J47" s="187"/>
      <c r="K47" s="125"/>
      <c r="L47" s="125"/>
      <c r="M47" s="125"/>
      <c r="N47" s="125"/>
      <c r="O47" s="126"/>
      <c r="P47" s="45"/>
      <c r="Q47" s="8"/>
      <c r="R47" s="19"/>
      <c r="S47" s="20"/>
      <c r="T47" s="5"/>
      <c r="U47" s="10">
        <f t="shared" si="3"/>
        <v>35</v>
      </c>
      <c r="V47" s="30" t="e">
        <f t="shared" si="0"/>
        <v>#DIV/0!</v>
      </c>
      <c r="W47" s="14" t="e">
        <f t="shared" si="1"/>
        <v>#DIV/0!</v>
      </c>
      <c r="X47" s="14" t="e">
        <f t="shared" si="2"/>
        <v>#DIV/0!</v>
      </c>
      <c r="Y47" s="48"/>
      <c r="Z47" s="33"/>
    </row>
    <row r="48" spans="1:26" ht="12.75">
      <c r="A48" s="124"/>
      <c r="B48" s="125"/>
      <c r="C48" s="125"/>
      <c r="D48" s="125"/>
      <c r="E48" s="125"/>
      <c r="F48" s="126"/>
      <c r="G48" s="171">
        <f>IF(AND(SLU_a&gt;0,SLE_a&gt;0,SHW_a&gt;0,SF_a&gt;0),"Foot Length","")</f>
      </c>
      <c r="H48" s="125" t="s">
        <v>25</v>
      </c>
      <c r="I48" s="187" t="e">
        <f>0.5*SF_a*COS(Clew_Height_Angle_r)+I74</f>
        <v>#DIV/0!</v>
      </c>
      <c r="J48" s="187" t="e">
        <f>0.5*SF_a*SIN(Clew_Height_Angle_r)+J74</f>
        <v>#DIV/0!</v>
      </c>
      <c r="K48" s="125"/>
      <c r="L48" s="125"/>
      <c r="M48" s="125"/>
      <c r="N48" s="125"/>
      <c r="O48" s="126"/>
      <c r="P48" s="45"/>
      <c r="Q48" s="8" t="s">
        <v>101</v>
      </c>
      <c r="R48" s="13" t="e">
        <f>I37-Radians_90</f>
        <v>#DIV/0!</v>
      </c>
      <c r="S48" s="7" t="s">
        <v>8</v>
      </c>
      <c r="T48" s="5"/>
      <c r="U48" s="10">
        <f t="shared" si="3"/>
        <v>36</v>
      </c>
      <c r="V48" s="30" t="e">
        <f t="shared" si="0"/>
        <v>#DIV/0!</v>
      </c>
      <c r="W48" s="14" t="e">
        <f t="shared" si="1"/>
        <v>#DIV/0!</v>
      </c>
      <c r="X48" s="14" t="e">
        <f t="shared" si="2"/>
        <v>#DIV/0!</v>
      </c>
      <c r="Y48" s="48"/>
      <c r="Z48" s="33"/>
    </row>
    <row r="49" spans="1:26" ht="12.75">
      <c r="A49" s="125"/>
      <c r="B49" s="125"/>
      <c r="C49" s="125"/>
      <c r="D49" s="125"/>
      <c r="E49" s="125"/>
      <c r="F49" s="124"/>
      <c r="G49" s="125"/>
      <c r="H49" s="15" t="s">
        <v>76</v>
      </c>
      <c r="I49" s="188">
        <v>0.9</v>
      </c>
      <c r="J49" s="188"/>
      <c r="K49" s="125"/>
      <c r="L49" s="125"/>
      <c r="M49" s="125"/>
      <c r="N49" s="125"/>
      <c r="O49" s="126"/>
      <c r="P49" s="45"/>
      <c r="Q49" s="8" t="s">
        <v>101</v>
      </c>
      <c r="R49" s="175" t="e">
        <f>DEGREES(R48)</f>
        <v>#DIV/0!</v>
      </c>
      <c r="S49" s="7" t="s">
        <v>9</v>
      </c>
      <c r="T49" s="69"/>
      <c r="U49" s="10">
        <f t="shared" si="3"/>
        <v>37</v>
      </c>
      <c r="V49" s="30" t="e">
        <f t="shared" si="0"/>
        <v>#DIV/0!</v>
      </c>
      <c r="W49" s="14" t="e">
        <f t="shared" si="1"/>
        <v>#DIV/0!</v>
      </c>
      <c r="X49" s="14" t="e">
        <f t="shared" si="2"/>
        <v>#DIV/0!</v>
      </c>
      <c r="Y49" s="48"/>
      <c r="Z49" s="33"/>
    </row>
    <row r="50" spans="1:26" ht="12.75">
      <c r="A50" s="124"/>
      <c r="B50" s="125"/>
      <c r="C50" s="125"/>
      <c r="D50" s="125"/>
      <c r="E50" s="125"/>
      <c r="F50" s="126"/>
      <c r="G50" s="125"/>
      <c r="H50" s="125" t="s">
        <v>75</v>
      </c>
      <c r="I50" s="187" t="e">
        <f>I48+I49*COS(FAPer)</f>
        <v>#DIV/0!</v>
      </c>
      <c r="J50" s="187" t="e">
        <f>J48+I49*SIN(FAPer)</f>
        <v>#DIV/0!</v>
      </c>
      <c r="K50" s="125"/>
      <c r="L50" s="125"/>
      <c r="M50" s="125"/>
      <c r="N50" s="125"/>
      <c r="O50" s="126"/>
      <c r="P50" s="45"/>
      <c r="Q50" s="8"/>
      <c r="R50" s="19"/>
      <c r="S50" s="20"/>
      <c r="T50" s="5"/>
      <c r="U50" s="10">
        <f t="shared" si="3"/>
        <v>38</v>
      </c>
      <c r="V50" s="30" t="e">
        <f t="shared" si="0"/>
        <v>#DIV/0!</v>
      </c>
      <c r="W50" s="14" t="e">
        <f t="shared" si="1"/>
        <v>#DIV/0!</v>
      </c>
      <c r="X50" s="14" t="e">
        <f t="shared" si="2"/>
        <v>#DIV/0!</v>
      </c>
      <c r="Y50" s="48"/>
      <c r="Z50" s="33"/>
    </row>
    <row r="51" spans="1:26" ht="12.75">
      <c r="A51" s="124"/>
      <c r="B51" s="125"/>
      <c r="C51" s="125"/>
      <c r="D51" s="125"/>
      <c r="E51" s="125"/>
      <c r="F51" s="126"/>
      <c r="G51" s="125"/>
      <c r="H51" s="125"/>
      <c r="I51" s="125"/>
      <c r="J51" s="125"/>
      <c r="K51" s="125"/>
      <c r="L51" s="125"/>
      <c r="M51" s="125"/>
      <c r="N51" s="125"/>
      <c r="O51" s="126"/>
      <c r="P51" s="45"/>
      <c r="Q51" s="8" t="s">
        <v>102</v>
      </c>
      <c r="R51" s="13" t="e">
        <f>Clew_Height_Angle_r-Radians_90</f>
        <v>#DIV/0!</v>
      </c>
      <c r="S51" s="7" t="s">
        <v>8</v>
      </c>
      <c r="T51" s="5"/>
      <c r="U51" s="10">
        <f t="shared" si="3"/>
        <v>39</v>
      </c>
      <c r="V51" s="30" t="e">
        <f t="shared" si="0"/>
        <v>#DIV/0!</v>
      </c>
      <c r="W51" s="14" t="e">
        <f t="shared" si="1"/>
        <v>#DIV/0!</v>
      </c>
      <c r="X51" s="14" t="e">
        <f t="shared" si="2"/>
        <v>#DIV/0!</v>
      </c>
      <c r="Y51" s="48"/>
      <c r="Z51" s="33"/>
    </row>
    <row r="52" spans="1:26" ht="12.75">
      <c r="A52" s="124"/>
      <c r="B52" s="125"/>
      <c r="C52" s="125"/>
      <c r="D52" s="125"/>
      <c r="E52" s="125"/>
      <c r="F52" s="126"/>
      <c r="G52" s="15" t="s">
        <v>81</v>
      </c>
      <c r="H52" s="188">
        <f>0.015*SLU_a</f>
        <v>0</v>
      </c>
      <c r="K52" s="125"/>
      <c r="L52" s="125"/>
      <c r="M52" s="125"/>
      <c r="N52" s="125"/>
      <c r="O52" s="126"/>
      <c r="P52" s="45"/>
      <c r="Q52" s="8" t="s">
        <v>102</v>
      </c>
      <c r="R52" s="175" t="e">
        <f>DEGREES(R51)</f>
        <v>#DIV/0!</v>
      </c>
      <c r="S52" s="7" t="s">
        <v>9</v>
      </c>
      <c r="T52" s="5"/>
      <c r="U52" s="10">
        <f t="shared" si="3"/>
        <v>40</v>
      </c>
      <c r="V52" s="30" t="e">
        <f t="shared" si="0"/>
        <v>#DIV/0!</v>
      </c>
      <c r="W52" s="14" t="e">
        <f t="shared" si="1"/>
        <v>#DIV/0!</v>
      </c>
      <c r="X52" s="14" t="e">
        <f t="shared" si="2"/>
        <v>#DIV/0!</v>
      </c>
      <c r="Y52" s="48"/>
      <c r="Z52" s="33"/>
    </row>
    <row r="53" spans="1:26" ht="12.75">
      <c r="A53" s="124"/>
      <c r="B53" s="125"/>
      <c r="C53" s="125"/>
      <c r="D53" s="125"/>
      <c r="E53" s="125"/>
      <c r="F53" s="126"/>
      <c r="G53" s="15" t="s">
        <v>82</v>
      </c>
      <c r="H53" s="188">
        <f>H52*1.33</f>
        <v>0</v>
      </c>
      <c r="K53" s="125"/>
      <c r="L53" s="125"/>
      <c r="M53" s="125"/>
      <c r="N53" s="125"/>
      <c r="O53" s="126"/>
      <c r="P53" s="45"/>
      <c r="Q53" s="8"/>
      <c r="R53" s="19"/>
      <c r="S53" s="20"/>
      <c r="T53" s="5"/>
      <c r="U53" s="10">
        <f t="shared" si="3"/>
        <v>41</v>
      </c>
      <c r="V53" s="30" t="e">
        <f t="shared" si="0"/>
        <v>#DIV/0!</v>
      </c>
      <c r="W53" s="14" t="e">
        <f t="shared" si="1"/>
        <v>#DIV/0!</v>
      </c>
      <c r="X53" s="14" t="e">
        <f t="shared" si="2"/>
        <v>#DIV/0!</v>
      </c>
      <c r="Y53" s="48"/>
      <c r="Z53" s="33"/>
    </row>
    <row r="54" spans="1:26" ht="12.75">
      <c r="A54" s="124"/>
      <c r="B54" s="125"/>
      <c r="C54" s="125"/>
      <c r="D54" s="125"/>
      <c r="E54" s="125"/>
      <c r="F54" s="126"/>
      <c r="I54" s="114" t="s">
        <v>10</v>
      </c>
      <c r="J54" s="114" t="s">
        <v>11</v>
      </c>
      <c r="K54" s="125"/>
      <c r="L54" s="125"/>
      <c r="M54" s="125"/>
      <c r="N54" s="125"/>
      <c r="O54" s="126"/>
      <c r="P54" s="45"/>
      <c r="Q54" s="21"/>
      <c r="R54" s="19"/>
      <c r="S54" s="20"/>
      <c r="T54" s="5"/>
      <c r="U54" s="10">
        <f t="shared" si="3"/>
        <v>42</v>
      </c>
      <c r="V54" s="30" t="e">
        <f t="shared" si="0"/>
        <v>#DIV/0!</v>
      </c>
      <c r="W54" s="14" t="e">
        <f t="shared" si="1"/>
        <v>#DIV/0!</v>
      </c>
      <c r="X54" s="14" t="e">
        <f t="shared" si="2"/>
        <v>#DIV/0!</v>
      </c>
      <c r="Y54" s="48"/>
      <c r="Z54" s="33"/>
    </row>
    <row r="55" spans="1:26" ht="12.75">
      <c r="A55" s="124"/>
      <c r="B55" s="125"/>
      <c r="C55" s="125"/>
      <c r="D55" s="125"/>
      <c r="E55" s="125"/>
      <c r="F55" s="126"/>
      <c r="G55" s="15" t="s">
        <v>83</v>
      </c>
      <c r="H55" s="15" t="s">
        <v>84</v>
      </c>
      <c r="I55" s="190">
        <f>IF(AND(SLU_a&gt;0,SLE_a&gt;0,SHW_a&gt;0,SF_a&gt;0),Head_a_x+Tick_Offset*COS(TAPer),0)</f>
        <v>0</v>
      </c>
      <c r="J55" s="190">
        <f>IF(AND(SLU_a&gt;0,SLE_a&gt;0,SHW_a&gt;0,SF_a&gt;0),Head_a_y+Tick_Offset*SIN(TAPer),0)</f>
        <v>0</v>
      </c>
      <c r="K55" s="125"/>
      <c r="L55" s="125"/>
      <c r="M55" s="125"/>
      <c r="N55" s="125"/>
      <c r="O55" s="126"/>
      <c r="P55" s="45"/>
      <c r="Q55" s="21"/>
      <c r="R55" s="19"/>
      <c r="S55" s="20"/>
      <c r="T55" s="5"/>
      <c r="U55" s="10">
        <f t="shared" si="3"/>
        <v>43</v>
      </c>
      <c r="V55" s="30" t="e">
        <f t="shared" si="0"/>
        <v>#DIV/0!</v>
      </c>
      <c r="W55" s="14" t="e">
        <f t="shared" si="1"/>
        <v>#DIV/0!</v>
      </c>
      <c r="X55" s="14" t="e">
        <f t="shared" si="2"/>
        <v>#DIV/0!</v>
      </c>
      <c r="Y55" s="48"/>
      <c r="Z55" s="33"/>
    </row>
    <row r="56" spans="1:26" ht="12.75">
      <c r="A56" s="124"/>
      <c r="B56" s="125"/>
      <c r="C56" s="125"/>
      <c r="D56" s="125"/>
      <c r="E56" s="125"/>
      <c r="F56" s="126"/>
      <c r="H56" s="15" t="s">
        <v>85</v>
      </c>
      <c r="I56" s="190">
        <f>IF(AND(SLU_a&gt;0,SLE_a&gt;0,SHW_a&gt;0,SF_a&gt;0),I55+Tick_Length*COS(TAPer),0)</f>
        <v>0</v>
      </c>
      <c r="J56" s="190">
        <f>IF(AND(SLU_a&gt;0,SLE_a&gt;0,SHW_a&gt;0,SF_a&gt;0),J55+Tick_Length*SIN(TAPer),0)</f>
        <v>0</v>
      </c>
      <c r="K56" s="125"/>
      <c r="L56" s="125"/>
      <c r="M56" s="125"/>
      <c r="N56" s="125"/>
      <c r="O56" s="126"/>
      <c r="P56" s="45"/>
      <c r="Q56" s="21"/>
      <c r="R56" s="19"/>
      <c r="S56" s="20"/>
      <c r="T56" s="5"/>
      <c r="U56" s="10">
        <f t="shared" si="3"/>
        <v>44</v>
      </c>
      <c r="V56" s="30" t="e">
        <f t="shared" si="0"/>
        <v>#DIV/0!</v>
      </c>
      <c r="W56" s="14" t="e">
        <f t="shared" si="1"/>
        <v>#DIV/0!</v>
      </c>
      <c r="X56" s="14" t="e">
        <f t="shared" si="2"/>
        <v>#DIV/0!</v>
      </c>
      <c r="Y56" s="48"/>
      <c r="Z56" s="33"/>
    </row>
    <row r="57" spans="1:26" ht="12.75">
      <c r="A57" s="124"/>
      <c r="B57" s="125"/>
      <c r="C57" s="125"/>
      <c r="D57" s="125"/>
      <c r="E57" s="125"/>
      <c r="F57" s="126"/>
      <c r="G57" s="125"/>
      <c r="H57" s="15" t="s">
        <v>86</v>
      </c>
      <c r="I57" s="190">
        <f>IF(AND(SLU_a&gt;0,SLE_a&gt;0,SHW_a&gt;0,SF_a&gt;0),Tack_a_x+Tick_Offset*COS(TAPer),0)</f>
        <v>0</v>
      </c>
      <c r="J57" s="190">
        <f>IF(AND(SLU_a&gt;0,SLE_a&gt;0,SHW_a&gt;0,SF_a&gt;0),Tack_a_y+Tick_Offset*SIN(TAPer),0)</f>
        <v>0</v>
      </c>
      <c r="K57" s="125"/>
      <c r="L57" s="125"/>
      <c r="M57" s="125"/>
      <c r="N57" s="125"/>
      <c r="O57" s="126"/>
      <c r="P57" s="45"/>
      <c r="Q57" s="21"/>
      <c r="R57" s="19"/>
      <c r="S57" s="20"/>
      <c r="T57" s="5"/>
      <c r="U57" s="10">
        <f t="shared" si="3"/>
        <v>45</v>
      </c>
      <c r="V57" s="30" t="e">
        <f t="shared" si="0"/>
        <v>#DIV/0!</v>
      </c>
      <c r="W57" s="14" t="e">
        <f t="shared" si="1"/>
        <v>#DIV/0!</v>
      </c>
      <c r="X57" s="14" t="e">
        <f t="shared" si="2"/>
        <v>#DIV/0!</v>
      </c>
      <c r="Y57" s="48"/>
      <c r="Z57" s="33"/>
    </row>
    <row r="58" spans="1:26" ht="12.75">
      <c r="A58" s="125"/>
      <c r="B58" s="125"/>
      <c r="C58" s="125"/>
      <c r="D58" s="125"/>
      <c r="E58" s="125"/>
      <c r="F58" s="124"/>
      <c r="G58" s="125"/>
      <c r="H58" s="15" t="s">
        <v>87</v>
      </c>
      <c r="I58" s="190">
        <f>IF(AND(SLU_a&gt;0,SLE_a&gt;0,SHW_a&gt;0,SF_a&gt;0),I57+Tick_Length*COS(TAPer),0)</f>
        <v>0</v>
      </c>
      <c r="J58" s="190">
        <f>IF(AND(SLU_a&gt;0,SLE_a&gt;0,SHW_a&gt;0,SF_a&gt;0),J57+Tick_Length*SIN(TAPer),0)</f>
        <v>0</v>
      </c>
      <c r="K58" s="125"/>
      <c r="L58" s="125"/>
      <c r="M58" s="125"/>
      <c r="N58" s="125"/>
      <c r="O58" s="126"/>
      <c r="P58" s="45"/>
      <c r="Q58" s="21"/>
      <c r="R58" s="19"/>
      <c r="S58" s="20"/>
      <c r="T58" s="29"/>
      <c r="U58" s="10">
        <f t="shared" si="3"/>
        <v>46</v>
      </c>
      <c r="V58" s="30" t="e">
        <f t="shared" si="0"/>
        <v>#DIV/0!</v>
      </c>
      <c r="W58" s="14" t="e">
        <f t="shared" si="1"/>
        <v>#DIV/0!</v>
      </c>
      <c r="X58" s="14" t="e">
        <f t="shared" si="2"/>
        <v>#DIV/0!</v>
      </c>
      <c r="Y58" s="48"/>
      <c r="Z58" s="33"/>
    </row>
    <row r="59" spans="1:26" ht="12.75">
      <c r="A59" s="125"/>
      <c r="B59" s="125"/>
      <c r="C59" s="125"/>
      <c r="D59" s="125"/>
      <c r="E59" s="125"/>
      <c r="F59" s="28"/>
      <c r="G59" s="125"/>
      <c r="H59" s="15" t="s">
        <v>88</v>
      </c>
      <c r="I59" s="187">
        <f>IF(AND(SLU_a&gt;0,SLE_a&gt;0,SHW_a&gt;0,SF_a&gt;0),I55+0.5*Tick_Length*COS(TAPer),0)</f>
        <v>0</v>
      </c>
      <c r="J59" s="187">
        <f>IF(AND(SLU_a&gt;0,SLE_a&gt;0,SHW_a&gt;0,SF_a&gt;0),J55+0.5*Tick_Length*SIN(TAPer),0)</f>
        <v>0</v>
      </c>
      <c r="K59" s="125"/>
      <c r="L59" s="125"/>
      <c r="M59" s="125"/>
      <c r="N59" s="125"/>
      <c r="O59" s="113"/>
      <c r="P59" s="45"/>
      <c r="Q59" s="21"/>
      <c r="R59" s="19"/>
      <c r="S59" s="20"/>
      <c r="T59" s="29"/>
      <c r="U59" s="10">
        <f t="shared" si="3"/>
        <v>47</v>
      </c>
      <c r="V59" s="30" t="e">
        <f t="shared" si="0"/>
        <v>#DIV/0!</v>
      </c>
      <c r="W59" s="14" t="e">
        <f t="shared" si="1"/>
        <v>#DIV/0!</v>
      </c>
      <c r="X59" s="14" t="e">
        <f t="shared" si="2"/>
        <v>#DIV/0!</v>
      </c>
      <c r="Y59" s="48"/>
      <c r="Z59" s="33"/>
    </row>
    <row r="60" spans="1:26" ht="12.75">
      <c r="A60" s="125"/>
      <c r="B60" s="125"/>
      <c r="C60" s="125"/>
      <c r="D60" s="125"/>
      <c r="E60" s="125"/>
      <c r="F60" s="28"/>
      <c r="G60" s="125"/>
      <c r="H60" s="15" t="s">
        <v>89</v>
      </c>
      <c r="I60" s="187">
        <f>IF(AND(SLU_a&gt;0,SLE_a&gt;0,SHW_a&gt;0,SF_a&gt;0),I57+0.5*Tick_Length*COS(TAPer),0)</f>
        <v>0</v>
      </c>
      <c r="J60" s="187">
        <f>IF(AND(SLU_a&gt;0,SLE_a&gt;0,SHW_a&gt;0,SF_a&gt;0),J57+0.5*Tick_Length*SIN(TAPer),0)</f>
        <v>0</v>
      </c>
      <c r="K60" s="125"/>
      <c r="L60" s="125"/>
      <c r="M60" s="125"/>
      <c r="N60" s="125"/>
      <c r="O60" s="113"/>
      <c r="P60" s="45"/>
      <c r="Q60" s="21"/>
      <c r="R60" s="19"/>
      <c r="S60" s="20"/>
      <c r="T60" s="29"/>
      <c r="U60" s="10">
        <f t="shared" si="3"/>
        <v>48</v>
      </c>
      <c r="V60" s="30" t="e">
        <f t="shared" si="0"/>
        <v>#DIV/0!</v>
      </c>
      <c r="W60" s="14" t="e">
        <f t="shared" si="1"/>
        <v>#DIV/0!</v>
      </c>
      <c r="X60" s="14" t="e">
        <f t="shared" si="2"/>
        <v>#DIV/0!</v>
      </c>
      <c r="Y60" s="48"/>
      <c r="Z60" s="33"/>
    </row>
    <row r="61" spans="1:26" ht="12.75">
      <c r="A61" s="125"/>
      <c r="B61" s="125"/>
      <c r="C61" s="125"/>
      <c r="D61" s="125"/>
      <c r="E61" s="125"/>
      <c r="F61" s="52"/>
      <c r="G61" s="125"/>
      <c r="I61" s="125"/>
      <c r="J61" s="125"/>
      <c r="K61" s="125"/>
      <c r="L61" s="125"/>
      <c r="M61" s="125"/>
      <c r="N61" s="125"/>
      <c r="O61" s="126"/>
      <c r="P61" s="45"/>
      <c r="Q61" s="21"/>
      <c r="R61" s="19"/>
      <c r="S61" s="20"/>
      <c r="T61" s="29"/>
      <c r="U61" s="10">
        <f t="shared" si="3"/>
        <v>49</v>
      </c>
      <c r="V61" s="30" t="e">
        <f t="shared" si="0"/>
        <v>#DIV/0!</v>
      </c>
      <c r="W61" s="14" t="e">
        <f t="shared" si="1"/>
        <v>#DIV/0!</v>
      </c>
      <c r="X61" s="14" t="e">
        <f t="shared" si="2"/>
        <v>#DIV/0!</v>
      </c>
      <c r="Y61" s="48"/>
      <c r="Z61" s="33"/>
    </row>
    <row r="62" spans="1:26" ht="12.75">
      <c r="A62" s="125"/>
      <c r="B62" s="125"/>
      <c r="C62" s="125"/>
      <c r="D62" s="125"/>
      <c r="E62" s="125"/>
      <c r="F62" s="52"/>
      <c r="G62" s="15" t="s">
        <v>90</v>
      </c>
      <c r="H62" s="15" t="s">
        <v>85</v>
      </c>
      <c r="I62" s="187">
        <f>IF(AND(SLU_a&gt;0,SLE_a&gt;0,SHW_a&gt;0,SF_a&gt;0),Head_a_x+Tick_Offset*COS(LAPer),0)</f>
        <v>0</v>
      </c>
      <c r="J62" s="190">
        <f>IF(AND(SLU_a&gt;0,SLE_a&gt;0,SHW_a&gt;0,SF_a&gt;0),Head_a_y+Tick_Offset*SIN(LAPer),0)</f>
        <v>0</v>
      </c>
      <c r="K62" s="125"/>
      <c r="L62" s="125"/>
      <c r="M62" s="125"/>
      <c r="N62" s="125"/>
      <c r="O62" s="126"/>
      <c r="P62" s="45"/>
      <c r="Q62" s="21"/>
      <c r="R62" s="19"/>
      <c r="S62" s="20"/>
      <c r="T62" s="29"/>
      <c r="U62" s="10">
        <f t="shared" si="3"/>
        <v>50</v>
      </c>
      <c r="V62" s="30" t="e">
        <f t="shared" si="0"/>
        <v>#DIV/0!</v>
      </c>
      <c r="W62" s="14" t="e">
        <f t="shared" si="1"/>
        <v>#DIV/0!</v>
      </c>
      <c r="X62" s="14" t="e">
        <f t="shared" si="2"/>
        <v>#DIV/0!</v>
      </c>
      <c r="Y62" s="48"/>
      <c r="Z62" s="33"/>
    </row>
    <row r="63" spans="1:26" ht="12.75">
      <c r="A63" s="125"/>
      <c r="B63" s="125"/>
      <c r="C63" s="125"/>
      <c r="D63" s="125"/>
      <c r="E63" s="125"/>
      <c r="F63" s="52"/>
      <c r="H63" s="15" t="s">
        <v>84</v>
      </c>
      <c r="I63" s="190">
        <f>IF(AND(SLU_a&gt;0,SLE_a&gt;0,SHW_a&gt;0,SF_a&gt;0),I62+Tick_Length*COS(LAPer),0)</f>
        <v>0</v>
      </c>
      <c r="J63" s="190">
        <f>IF(AND(SLU_a&gt;0,SLE_a&gt;0,SHW_a&gt;0,SF_a&gt;0),J62+Tick_Length*SIN(LAPer),0)</f>
        <v>0</v>
      </c>
      <c r="K63" s="125"/>
      <c r="L63" s="125"/>
      <c r="M63" s="125"/>
      <c r="N63" s="125"/>
      <c r="O63" s="126"/>
      <c r="P63" s="45"/>
      <c r="Q63" s="21"/>
      <c r="R63" s="19"/>
      <c r="S63" s="20"/>
      <c r="T63" s="29"/>
      <c r="U63" s="10">
        <f t="shared" si="3"/>
        <v>51</v>
      </c>
      <c r="V63" s="30" t="e">
        <f t="shared" si="0"/>
        <v>#DIV/0!</v>
      </c>
      <c r="W63" s="14" t="e">
        <f t="shared" si="1"/>
        <v>#DIV/0!</v>
      </c>
      <c r="X63" s="14" t="e">
        <f t="shared" si="2"/>
        <v>#DIV/0!</v>
      </c>
      <c r="Y63" s="48"/>
      <c r="Z63" s="33"/>
    </row>
    <row r="64" spans="1:26" ht="12.75">
      <c r="A64" s="125"/>
      <c r="B64" s="125"/>
      <c r="C64" s="125"/>
      <c r="D64" s="125"/>
      <c r="E64" s="125"/>
      <c r="F64" s="124"/>
      <c r="G64" s="125"/>
      <c r="H64" s="15" t="s">
        <v>87</v>
      </c>
      <c r="I64" s="190">
        <f>IF(AND(SLU_a&gt;0,SLE_a&gt;0,SHW_a&gt;0,SF_a&gt;0),Clew_a_x+Tick_Offset*COS(LAPer),0)</f>
        <v>0</v>
      </c>
      <c r="J64" s="190">
        <f>IF(AND(SLU_a&gt;0,SLE_a&gt;0,SHW_a&gt;0,SF_a&gt;0),Clew_a_y+Tick_Offset*SIN(LAPer),0)</f>
        <v>0</v>
      </c>
      <c r="K64" s="125"/>
      <c r="L64" s="125"/>
      <c r="M64" s="125"/>
      <c r="N64" s="125"/>
      <c r="O64" s="126"/>
      <c r="P64" s="45"/>
      <c r="Q64" s="21"/>
      <c r="R64" s="19"/>
      <c r="S64" s="20"/>
      <c r="T64" s="29"/>
      <c r="U64" s="10">
        <f t="shared" si="3"/>
        <v>52</v>
      </c>
      <c r="V64" s="30" t="e">
        <f t="shared" si="0"/>
        <v>#DIV/0!</v>
      </c>
      <c r="W64" s="14" t="e">
        <f t="shared" si="1"/>
        <v>#DIV/0!</v>
      </c>
      <c r="X64" s="14" t="e">
        <f t="shared" si="2"/>
        <v>#DIV/0!</v>
      </c>
      <c r="Y64" s="48"/>
      <c r="Z64" s="33"/>
    </row>
    <row r="65" spans="1:26" ht="12.75">
      <c r="A65" s="125"/>
      <c r="B65" s="125"/>
      <c r="C65" s="125"/>
      <c r="D65" s="125"/>
      <c r="E65" s="125"/>
      <c r="F65" s="124"/>
      <c r="G65" s="125"/>
      <c r="H65" s="15" t="s">
        <v>86</v>
      </c>
      <c r="I65" s="190">
        <f>IF(AND(SLU_a&gt;0,SLE_a&gt;0,SHW_a&gt;0,SF_a&gt;0),I64+Tick_Length*COS(LAPer),0)</f>
        <v>0</v>
      </c>
      <c r="J65" s="190">
        <f>IF(AND(SLU_a&gt;0,SLE_a&gt;0,SHW_a&gt;0,SF_a&gt;0),J64+Tick_Length*SIN(LAPer),0)</f>
        <v>0</v>
      </c>
      <c r="K65" s="128"/>
      <c r="L65" s="128"/>
      <c r="M65" s="128"/>
      <c r="N65" s="128"/>
      <c r="O65" s="126"/>
      <c r="P65" s="45"/>
      <c r="Q65" s="21"/>
      <c r="R65" s="19"/>
      <c r="S65" s="20"/>
      <c r="T65" s="29"/>
      <c r="U65" s="10">
        <f t="shared" si="3"/>
        <v>53</v>
      </c>
      <c r="V65" s="30" t="e">
        <f t="shared" si="0"/>
        <v>#DIV/0!</v>
      </c>
      <c r="W65" s="14" t="e">
        <f t="shared" si="1"/>
        <v>#DIV/0!</v>
      </c>
      <c r="X65" s="14" t="e">
        <f t="shared" si="2"/>
        <v>#DIV/0!</v>
      </c>
      <c r="Y65" s="48"/>
      <c r="Z65" s="33"/>
    </row>
    <row r="66" spans="1:26" ht="12.75">
      <c r="A66" s="125"/>
      <c r="B66" s="125"/>
      <c r="C66" s="125"/>
      <c r="D66" s="125"/>
      <c r="E66" s="125"/>
      <c r="F66" s="124"/>
      <c r="G66" s="125"/>
      <c r="H66" s="15" t="s">
        <v>91</v>
      </c>
      <c r="I66" s="187">
        <f>IF(AND(SLU_a&gt;0,SLE_a&gt;0,SHW_a&gt;0,SF_a&gt;0),I62+0.5*Tick_Length*COS(LAPer),0)</f>
        <v>0</v>
      </c>
      <c r="J66" s="187">
        <f>IF(AND(SLU_a&gt;0,SLE_a&gt;0,SHW_a&gt;0,SF_a&gt;0),J62+0.5*Tick_Length*SIN(LAPer),0)</f>
        <v>0</v>
      </c>
      <c r="K66" s="125"/>
      <c r="L66" s="125"/>
      <c r="M66" s="125"/>
      <c r="N66" s="125"/>
      <c r="O66" s="126"/>
      <c r="P66" s="45"/>
      <c r="Q66" s="21"/>
      <c r="R66" s="19"/>
      <c r="S66" s="20"/>
      <c r="T66" s="29"/>
      <c r="U66" s="10">
        <f t="shared" si="3"/>
        <v>54</v>
      </c>
      <c r="V66" s="30" t="e">
        <f t="shared" si="0"/>
        <v>#DIV/0!</v>
      </c>
      <c r="W66" s="14" t="e">
        <f t="shared" si="1"/>
        <v>#DIV/0!</v>
      </c>
      <c r="X66" s="14" t="e">
        <f t="shared" si="2"/>
        <v>#DIV/0!</v>
      </c>
      <c r="Y66" s="48"/>
      <c r="Z66" s="33"/>
    </row>
    <row r="67" spans="1:26" ht="12.75">
      <c r="A67" s="125"/>
      <c r="B67" s="125"/>
      <c r="C67" s="125"/>
      <c r="D67" s="125"/>
      <c r="E67" s="125"/>
      <c r="F67" s="124"/>
      <c r="G67" s="125"/>
      <c r="H67" s="15" t="s">
        <v>92</v>
      </c>
      <c r="I67" s="187">
        <f>IF(AND(SLU_a&gt;0,SLE_a&gt;0,SHW_a&gt;0,SF_a&gt;0),I64+0.5*Tick_Length*COS(LAPer),0)</f>
        <v>0</v>
      </c>
      <c r="J67" s="187">
        <f>IF(AND(SLU_a&gt;0,SLE_a&gt;0,SHW_a&gt;0,SF_a&gt;0),J64+0.5*Tick_Length*SIN(LAPer),0)</f>
        <v>0</v>
      </c>
      <c r="K67" s="125"/>
      <c r="L67" s="125"/>
      <c r="M67" s="125"/>
      <c r="N67" s="125"/>
      <c r="O67" s="126"/>
      <c r="P67" s="45"/>
      <c r="Q67" s="21"/>
      <c r="R67" s="19"/>
      <c r="S67" s="20"/>
      <c r="T67" s="29"/>
      <c r="U67" s="10">
        <f t="shared" si="3"/>
        <v>55</v>
      </c>
      <c r="V67" s="30" t="e">
        <f t="shared" si="0"/>
        <v>#DIV/0!</v>
      </c>
      <c r="W67" s="14" t="e">
        <f t="shared" si="1"/>
        <v>#DIV/0!</v>
      </c>
      <c r="X67" s="14" t="e">
        <f t="shared" si="2"/>
        <v>#DIV/0!</v>
      </c>
      <c r="Y67" s="48"/>
      <c r="Z67" s="33"/>
    </row>
    <row r="68" spans="1:26" ht="12.75">
      <c r="A68" s="125"/>
      <c r="B68" s="125"/>
      <c r="C68" s="125"/>
      <c r="D68" s="125"/>
      <c r="E68" s="125"/>
      <c r="F68" s="124"/>
      <c r="G68" s="125"/>
      <c r="H68" s="125"/>
      <c r="I68" s="125"/>
      <c r="J68" s="125"/>
      <c r="K68" s="125"/>
      <c r="L68" s="125"/>
      <c r="M68" s="125"/>
      <c r="N68" s="125"/>
      <c r="O68" s="126"/>
      <c r="P68" s="45"/>
      <c r="Q68" s="21"/>
      <c r="R68" s="19"/>
      <c r="S68" s="20"/>
      <c r="T68" s="29"/>
      <c r="U68" s="10">
        <f t="shared" si="3"/>
        <v>56</v>
      </c>
      <c r="V68" s="30" t="e">
        <f t="shared" si="0"/>
        <v>#DIV/0!</v>
      </c>
      <c r="W68" s="14" t="e">
        <f t="shared" si="1"/>
        <v>#DIV/0!</v>
      </c>
      <c r="X68" s="14" t="e">
        <f t="shared" si="2"/>
        <v>#DIV/0!</v>
      </c>
      <c r="Y68" s="48"/>
      <c r="Z68" s="33"/>
    </row>
    <row r="69" spans="1:26" ht="12.75">
      <c r="A69" s="125"/>
      <c r="B69" s="125"/>
      <c r="C69" s="125"/>
      <c r="D69" s="125"/>
      <c r="E69" s="125"/>
      <c r="F69" s="124"/>
      <c r="G69" s="15" t="s">
        <v>93</v>
      </c>
      <c r="H69" s="15" t="s">
        <v>94</v>
      </c>
      <c r="I69" s="190">
        <f>IF(AND(SLU_a&gt;0,SLE_a&gt;0,SHW_a&gt;0,SF_a&gt;0),Clew_a_x+(0.5*Foot_Offset_Distance+Tick_Offset)*COS(FAPer),0)</f>
        <v>0</v>
      </c>
      <c r="J69" s="190">
        <f>IF(AND(SLU_a&gt;0,SLE_a&gt;0,SHW_a&gt;0,SF_a&gt;0),Clew_a_y+(0.5*Foot_Offset_Distance+Tick_Offset)*SIN(FAPer),0)</f>
        <v>0</v>
      </c>
      <c r="K69" s="125"/>
      <c r="L69" s="125"/>
      <c r="M69" s="125"/>
      <c r="N69" s="125"/>
      <c r="O69" s="126"/>
      <c r="P69" s="45"/>
      <c r="Q69" s="21"/>
      <c r="R69" s="19"/>
      <c r="S69" s="20"/>
      <c r="T69" s="29"/>
      <c r="U69" s="10">
        <f t="shared" si="3"/>
        <v>57</v>
      </c>
      <c r="V69" s="30" t="e">
        <f t="shared" si="0"/>
        <v>#DIV/0!</v>
      </c>
      <c r="W69" s="14" t="e">
        <f t="shared" si="1"/>
        <v>#DIV/0!</v>
      </c>
      <c r="X69" s="14" t="e">
        <f t="shared" si="2"/>
        <v>#DIV/0!</v>
      </c>
      <c r="Y69" s="48"/>
      <c r="Z69" s="33"/>
    </row>
    <row r="70" spans="1:26" ht="12.75">
      <c r="A70" s="125"/>
      <c r="B70" s="125"/>
      <c r="C70" s="125"/>
      <c r="D70" s="125"/>
      <c r="E70" s="125"/>
      <c r="F70" s="124"/>
      <c r="H70" s="15" t="s">
        <v>95</v>
      </c>
      <c r="I70" s="190">
        <f>IF(AND(SLU_a&gt;0,SLE_a&gt;0,SHW_a&gt;0,SF_a&gt;0),I69+Tick_Length*COS(FAPer),0)</f>
        <v>0</v>
      </c>
      <c r="J70" s="190">
        <f>IF(AND(SLU_a&gt;0,SLE_a&gt;0,SHW_a&gt;0,SF_a&gt;0),J69+Tick_Length*SIN(FAPer),0)</f>
        <v>0</v>
      </c>
      <c r="K70" s="125"/>
      <c r="L70" s="125"/>
      <c r="M70" s="125"/>
      <c r="N70" s="125"/>
      <c r="O70" s="126"/>
      <c r="P70" s="45"/>
      <c r="Q70" s="21"/>
      <c r="R70" s="19"/>
      <c r="S70" s="20"/>
      <c r="T70" s="29"/>
      <c r="U70" s="10">
        <f t="shared" si="3"/>
        <v>58</v>
      </c>
      <c r="V70" s="30" t="e">
        <f t="shared" si="0"/>
        <v>#DIV/0!</v>
      </c>
      <c r="W70" s="14" t="e">
        <f t="shared" si="1"/>
        <v>#DIV/0!</v>
      </c>
      <c r="X70" s="14" t="e">
        <f t="shared" si="2"/>
        <v>#DIV/0!</v>
      </c>
      <c r="Y70" s="48"/>
      <c r="Z70" s="33"/>
    </row>
    <row r="71" spans="1:26" ht="12.75">
      <c r="A71" s="125"/>
      <c r="B71" s="125"/>
      <c r="C71" s="125"/>
      <c r="D71" s="125"/>
      <c r="E71" s="125"/>
      <c r="F71" s="124"/>
      <c r="G71" s="125"/>
      <c r="H71" s="15" t="s">
        <v>96</v>
      </c>
      <c r="I71" s="190">
        <f>IF(AND(SLU_a&gt;0,SLE_a&gt;0,SHW_a&gt;0,SF_a&gt;0),Tack_a_x+(0.5*Foot_Offset_Distance+Tick_Offset)*COS(FAPer),0)</f>
        <v>0</v>
      </c>
      <c r="J71" s="190">
        <f>IF(AND(SLU_a&gt;0,SLE_a&gt;0,SHW_a&gt;0,SF_a&gt;0),Tack_a_y+(0.5*Foot_Offset_Distance+Tick_Offset)*SIN(FAPer),0)</f>
        <v>0</v>
      </c>
      <c r="K71" s="125"/>
      <c r="L71" s="125"/>
      <c r="M71" s="125"/>
      <c r="N71" s="125"/>
      <c r="O71" s="126"/>
      <c r="P71" s="45"/>
      <c r="Q71" s="21"/>
      <c r="R71" s="19"/>
      <c r="S71" s="20"/>
      <c r="T71" s="29"/>
      <c r="U71" s="10">
        <f t="shared" si="3"/>
        <v>59</v>
      </c>
      <c r="V71" s="30" t="e">
        <f t="shared" si="0"/>
        <v>#DIV/0!</v>
      </c>
      <c r="W71" s="14" t="e">
        <f t="shared" si="1"/>
        <v>#DIV/0!</v>
      </c>
      <c r="X71" s="14" t="e">
        <f t="shared" si="2"/>
        <v>#DIV/0!</v>
      </c>
      <c r="Y71" s="48"/>
      <c r="Z71" s="33"/>
    </row>
    <row r="72" spans="1:26" ht="12.75">
      <c r="A72" s="125"/>
      <c r="B72" s="125"/>
      <c r="C72" s="125"/>
      <c r="D72" s="125"/>
      <c r="E72" s="125"/>
      <c r="F72" s="124"/>
      <c r="G72" s="125"/>
      <c r="H72" s="15" t="s">
        <v>97</v>
      </c>
      <c r="I72" s="190">
        <f>IF(AND(SLU_a&gt;0,SLE_a&gt;0,SHW_a&gt;0,SF_a&gt;0),I71+Tick_Length*COS(FAPer),0)</f>
        <v>0</v>
      </c>
      <c r="J72" s="190">
        <f>IF(AND(SLU_a&gt;0,SLE_a&gt;0,SHW_a&gt;0,SF_a&gt;0),J71+Tick_Length*SIN(FAPer),0)</f>
        <v>0</v>
      </c>
      <c r="K72" s="125"/>
      <c r="L72" s="125"/>
      <c r="M72" s="125"/>
      <c r="N72" s="125"/>
      <c r="O72" s="126"/>
      <c r="P72" s="45"/>
      <c r="Q72" s="21"/>
      <c r="R72" s="19"/>
      <c r="S72" s="20"/>
      <c r="T72" s="29"/>
      <c r="U72" s="10">
        <f t="shared" si="3"/>
        <v>60</v>
      </c>
      <c r="V72" s="30" t="e">
        <f t="shared" si="0"/>
        <v>#DIV/0!</v>
      </c>
      <c r="W72" s="14" t="e">
        <f t="shared" si="1"/>
        <v>#DIV/0!</v>
      </c>
      <c r="X72" s="14" t="e">
        <f t="shared" si="2"/>
        <v>#DIV/0!</v>
      </c>
      <c r="Y72" s="48"/>
      <c r="Z72" s="33"/>
    </row>
    <row r="73" spans="1:26" ht="12.75">
      <c r="A73" s="125"/>
      <c r="B73" s="125"/>
      <c r="C73" s="125"/>
      <c r="D73" s="125"/>
      <c r="E73" s="125"/>
      <c r="F73" s="124"/>
      <c r="G73" s="125"/>
      <c r="H73" s="15" t="s">
        <v>98</v>
      </c>
      <c r="I73" s="187">
        <f>IF(AND(SLU_a&gt;0,SLE_a&gt;0,SHW_a&gt;0,SF_a&gt;0),I69+0.5*Tick_Length*COS(FAPer),0)</f>
        <v>0</v>
      </c>
      <c r="J73" s="187">
        <f>IF(AND(SLU_a&gt;0,SLE_a&gt;0,SHW_a&gt;0,SF_a&gt;0),J69+0.5*Tick_Length*SIN(FAPer),0)</f>
        <v>0</v>
      </c>
      <c r="K73" s="125"/>
      <c r="L73" s="125"/>
      <c r="M73" s="125"/>
      <c r="N73" s="125"/>
      <c r="O73" s="126"/>
      <c r="P73" s="45"/>
      <c r="Q73" s="21"/>
      <c r="R73" s="19"/>
      <c r="S73" s="20"/>
      <c r="T73" s="29"/>
      <c r="U73" s="10">
        <f t="shared" si="3"/>
        <v>61</v>
      </c>
      <c r="V73" s="30" t="e">
        <f t="shared" si="0"/>
        <v>#DIV/0!</v>
      </c>
      <c r="W73" s="14" t="e">
        <f t="shared" si="1"/>
        <v>#DIV/0!</v>
      </c>
      <c r="X73" s="14" t="e">
        <f t="shared" si="2"/>
        <v>#DIV/0!</v>
      </c>
      <c r="Y73" s="48"/>
      <c r="Z73" s="33"/>
    </row>
    <row r="74" spans="1:26" ht="12.75">
      <c r="A74" s="125"/>
      <c r="B74" s="125"/>
      <c r="C74" s="125"/>
      <c r="D74" s="125"/>
      <c r="E74" s="125"/>
      <c r="F74" s="124"/>
      <c r="G74" s="125"/>
      <c r="H74" s="15" t="s">
        <v>99</v>
      </c>
      <c r="I74" s="187">
        <f>IF(AND(SLU_a&gt;0,SLE_a&gt;0,SHW_a&gt;0,SF_a&gt;0),I71+0.5*Tick_Length*COS(FAPer),0)</f>
        <v>0</v>
      </c>
      <c r="J74" s="187">
        <f>IF(AND(SLU_a&gt;0,SLE_a&gt;0,SHW_a&gt;0,SF_a&gt;0),J71+0.5*Tick_Length*SIN(FAPer),0)</f>
        <v>0</v>
      </c>
      <c r="K74" s="125"/>
      <c r="L74" s="125"/>
      <c r="M74" s="125"/>
      <c r="N74" s="125"/>
      <c r="O74" s="126"/>
      <c r="P74" s="45"/>
      <c r="Q74" s="21"/>
      <c r="R74" s="19"/>
      <c r="S74" s="20"/>
      <c r="T74" s="29"/>
      <c r="U74" s="10">
        <f t="shared" si="3"/>
        <v>62</v>
      </c>
      <c r="V74" s="30" t="e">
        <f t="shared" si="0"/>
        <v>#DIV/0!</v>
      </c>
      <c r="W74" s="14" t="e">
        <f t="shared" si="1"/>
        <v>#DIV/0!</v>
      </c>
      <c r="X74" s="14" t="e">
        <f t="shared" si="2"/>
        <v>#DIV/0!</v>
      </c>
      <c r="Y74" s="48"/>
      <c r="Z74" s="33"/>
    </row>
    <row r="75" spans="1:26" ht="12.75">
      <c r="A75" s="125"/>
      <c r="B75" s="125"/>
      <c r="C75" s="125"/>
      <c r="D75" s="125"/>
      <c r="E75" s="125"/>
      <c r="F75" s="124"/>
      <c r="G75" s="125"/>
      <c r="H75" s="125"/>
      <c r="I75" s="125"/>
      <c r="J75" s="125"/>
      <c r="K75" s="125"/>
      <c r="L75" s="125"/>
      <c r="M75" s="125"/>
      <c r="N75" s="125"/>
      <c r="O75" s="126"/>
      <c r="P75" s="45"/>
      <c r="Q75" s="21"/>
      <c r="R75" s="19"/>
      <c r="S75" s="20"/>
      <c r="T75" s="29"/>
      <c r="U75" s="10">
        <f t="shared" si="3"/>
        <v>63</v>
      </c>
      <c r="V75" s="30" t="e">
        <f t="shared" si="0"/>
        <v>#DIV/0!</v>
      </c>
      <c r="W75" s="14" t="e">
        <f t="shared" si="1"/>
        <v>#DIV/0!</v>
      </c>
      <c r="X75" s="14" t="e">
        <f t="shared" si="2"/>
        <v>#DIV/0!</v>
      </c>
      <c r="Y75" s="48"/>
      <c r="Z75" s="33"/>
    </row>
    <row r="76" spans="1:26" ht="12.75">
      <c r="A76" s="125"/>
      <c r="B76" s="125"/>
      <c r="C76" s="125"/>
      <c r="D76" s="125"/>
      <c r="E76" s="125"/>
      <c r="F76" s="124"/>
      <c r="G76" s="125"/>
      <c r="H76" s="125"/>
      <c r="I76" s="125"/>
      <c r="J76" s="125"/>
      <c r="K76" s="125"/>
      <c r="L76" s="125"/>
      <c r="M76" s="125"/>
      <c r="N76" s="125"/>
      <c r="O76" s="126"/>
      <c r="P76" s="45"/>
      <c r="Q76" s="21"/>
      <c r="R76" s="19"/>
      <c r="S76" s="20"/>
      <c r="T76" s="29"/>
      <c r="U76" s="10">
        <f t="shared" si="3"/>
        <v>64</v>
      </c>
      <c r="V76" s="30" t="e">
        <f aca="true" t="shared" si="4" ref="V76:V139">SQRT((W76-SLU_Half_Luff_a_x)^2+(X76-SLU_Half_Luff_a_y)^2)</f>
        <v>#DIV/0!</v>
      </c>
      <c r="W76" s="14" t="e">
        <f t="shared" si="1"/>
        <v>#DIV/0!</v>
      </c>
      <c r="X76" s="14" t="e">
        <f t="shared" si="2"/>
        <v>#DIV/0!</v>
      </c>
      <c r="Y76" s="48"/>
      <c r="Z76" s="33"/>
    </row>
    <row r="77" spans="1:26" ht="12.75">
      <c r="A77" s="125"/>
      <c r="B77" s="125"/>
      <c r="C77" s="125"/>
      <c r="D77" s="125"/>
      <c r="E77" s="125"/>
      <c r="F77" s="124"/>
      <c r="G77" s="125"/>
      <c r="H77" s="125"/>
      <c r="I77" s="125"/>
      <c r="J77" s="125"/>
      <c r="K77" s="125"/>
      <c r="L77" s="125"/>
      <c r="M77" s="125"/>
      <c r="N77" s="125"/>
      <c r="O77" s="126"/>
      <c r="P77" s="45"/>
      <c r="Q77" s="21"/>
      <c r="R77" s="19"/>
      <c r="S77" s="20"/>
      <c r="T77" s="29"/>
      <c r="U77" s="10">
        <f t="shared" si="3"/>
        <v>65</v>
      </c>
      <c r="V77" s="30" t="e">
        <f t="shared" si="4"/>
        <v>#DIV/0!</v>
      </c>
      <c r="W77" s="14" t="e">
        <f aca="true" t="shared" si="5" ref="W77:W140">Start_for_int_x+U77*Step_Inc*COS(SLE_Mid_Luff_Angle_r)</f>
        <v>#DIV/0!</v>
      </c>
      <c r="X77" s="14" t="e">
        <f aca="true" t="shared" si="6" ref="X77:X140">Start_for_int_y+U77*Step_Inc*SIN(SLE_Mid_Luff_Angle_r)</f>
        <v>#DIV/0!</v>
      </c>
      <c r="Y77" s="48"/>
      <c r="Z77" s="33"/>
    </row>
    <row r="78" spans="1:26" ht="12.75">
      <c r="A78" s="125"/>
      <c r="B78" s="125"/>
      <c r="C78" s="125"/>
      <c r="D78" s="125"/>
      <c r="E78" s="125"/>
      <c r="F78" s="124"/>
      <c r="G78" s="125"/>
      <c r="H78" s="125"/>
      <c r="I78" s="125"/>
      <c r="J78" s="125"/>
      <c r="K78" s="125"/>
      <c r="L78" s="125"/>
      <c r="M78" s="125"/>
      <c r="N78" s="125"/>
      <c r="O78" s="126"/>
      <c r="P78" s="45"/>
      <c r="Q78" s="21"/>
      <c r="R78" s="19"/>
      <c r="S78" s="20"/>
      <c r="T78" s="29"/>
      <c r="U78" s="10">
        <f aca="true" t="shared" si="7" ref="U78:U141">U77+1</f>
        <v>66</v>
      </c>
      <c r="V78" s="30" t="e">
        <f t="shared" si="4"/>
        <v>#DIV/0!</v>
      </c>
      <c r="W78" s="14" t="e">
        <f t="shared" si="5"/>
        <v>#DIV/0!</v>
      </c>
      <c r="X78" s="14" t="e">
        <f t="shared" si="6"/>
        <v>#DIV/0!</v>
      </c>
      <c r="Y78" s="48"/>
      <c r="Z78" s="33"/>
    </row>
    <row r="79" spans="1:26" ht="12.75">
      <c r="A79" s="125"/>
      <c r="B79" s="125"/>
      <c r="C79" s="125"/>
      <c r="D79" s="125"/>
      <c r="E79" s="125"/>
      <c r="F79" s="124"/>
      <c r="G79" s="125"/>
      <c r="H79" s="125"/>
      <c r="I79" s="125"/>
      <c r="J79" s="125"/>
      <c r="K79" s="125"/>
      <c r="L79" s="125"/>
      <c r="M79" s="125"/>
      <c r="N79" s="125"/>
      <c r="O79" s="126"/>
      <c r="P79" s="45"/>
      <c r="Q79" s="21"/>
      <c r="R79" s="19"/>
      <c r="S79" s="20"/>
      <c r="T79" s="29"/>
      <c r="U79" s="10">
        <f t="shared" si="7"/>
        <v>67</v>
      </c>
      <c r="V79" s="30" t="e">
        <f t="shared" si="4"/>
        <v>#DIV/0!</v>
      </c>
      <c r="W79" s="14" t="e">
        <f t="shared" si="5"/>
        <v>#DIV/0!</v>
      </c>
      <c r="X79" s="14" t="e">
        <f t="shared" si="6"/>
        <v>#DIV/0!</v>
      </c>
      <c r="Y79" s="48"/>
      <c r="Z79" s="33"/>
    </row>
    <row r="80" spans="1:26" ht="12.75">
      <c r="A80" s="125"/>
      <c r="B80" s="125"/>
      <c r="C80" s="125"/>
      <c r="D80" s="125"/>
      <c r="E80" s="125"/>
      <c r="F80" s="124"/>
      <c r="G80" s="125"/>
      <c r="H80" s="125"/>
      <c r="I80" s="125"/>
      <c r="J80" s="125"/>
      <c r="K80" s="125"/>
      <c r="L80" s="125"/>
      <c r="M80" s="125"/>
      <c r="N80" s="125"/>
      <c r="O80" s="126"/>
      <c r="P80" s="45"/>
      <c r="Q80" s="21"/>
      <c r="R80" s="19"/>
      <c r="S80" s="20"/>
      <c r="T80" s="29"/>
      <c r="U80" s="10">
        <f t="shared" si="7"/>
        <v>68</v>
      </c>
      <c r="V80" s="30" t="e">
        <f t="shared" si="4"/>
        <v>#DIV/0!</v>
      </c>
      <c r="W80" s="14" t="e">
        <f t="shared" si="5"/>
        <v>#DIV/0!</v>
      </c>
      <c r="X80" s="14" t="e">
        <f t="shared" si="6"/>
        <v>#DIV/0!</v>
      </c>
      <c r="Y80" s="48"/>
      <c r="Z80" s="33"/>
    </row>
    <row r="81" spans="1:26" ht="12.75">
      <c r="A81" s="125"/>
      <c r="B81" s="125"/>
      <c r="C81" s="125"/>
      <c r="D81" s="125"/>
      <c r="E81" s="125"/>
      <c r="F81" s="124"/>
      <c r="G81" s="125"/>
      <c r="H81" s="125"/>
      <c r="I81" s="125"/>
      <c r="J81" s="125"/>
      <c r="K81" s="125"/>
      <c r="L81" s="125"/>
      <c r="M81" s="125"/>
      <c r="N81" s="125"/>
      <c r="O81" s="126"/>
      <c r="P81" s="45"/>
      <c r="Q81" s="21"/>
      <c r="R81" s="19"/>
      <c r="S81" s="20"/>
      <c r="T81" s="29"/>
      <c r="U81" s="10">
        <f t="shared" si="7"/>
        <v>69</v>
      </c>
      <c r="V81" s="30" t="e">
        <f t="shared" si="4"/>
        <v>#DIV/0!</v>
      </c>
      <c r="W81" s="14" t="e">
        <f t="shared" si="5"/>
        <v>#DIV/0!</v>
      </c>
      <c r="X81" s="14" t="e">
        <f t="shared" si="6"/>
        <v>#DIV/0!</v>
      </c>
      <c r="Y81" s="48"/>
      <c r="Z81" s="33"/>
    </row>
    <row r="82" spans="1:26" ht="12.75">
      <c r="A82" s="125"/>
      <c r="B82" s="125"/>
      <c r="C82" s="125"/>
      <c r="D82" s="125"/>
      <c r="E82" s="125"/>
      <c r="F82" s="124"/>
      <c r="G82" s="125"/>
      <c r="H82" s="125"/>
      <c r="I82" s="125"/>
      <c r="J82" s="125"/>
      <c r="K82" s="125"/>
      <c r="L82" s="125"/>
      <c r="M82" s="125"/>
      <c r="N82" s="125"/>
      <c r="O82" s="126"/>
      <c r="P82" s="45"/>
      <c r="Q82" s="21"/>
      <c r="R82" s="19"/>
      <c r="S82" s="20"/>
      <c r="T82" s="29"/>
      <c r="U82" s="10">
        <f t="shared" si="7"/>
        <v>70</v>
      </c>
      <c r="V82" s="30" t="e">
        <f t="shared" si="4"/>
        <v>#DIV/0!</v>
      </c>
      <c r="W82" s="14" t="e">
        <f t="shared" si="5"/>
        <v>#DIV/0!</v>
      </c>
      <c r="X82" s="14" t="e">
        <f t="shared" si="6"/>
        <v>#DIV/0!</v>
      </c>
      <c r="Y82" s="48"/>
      <c r="Z82" s="33"/>
    </row>
    <row r="83" spans="1:26" ht="12.75">
      <c r="A83" s="125"/>
      <c r="B83" s="125"/>
      <c r="C83" s="125"/>
      <c r="D83" s="125"/>
      <c r="E83" s="125"/>
      <c r="F83" s="124"/>
      <c r="G83" s="125"/>
      <c r="H83" s="125"/>
      <c r="I83" s="125"/>
      <c r="J83" s="125"/>
      <c r="K83" s="125"/>
      <c r="L83" s="125"/>
      <c r="M83" s="125"/>
      <c r="N83" s="125"/>
      <c r="O83" s="126"/>
      <c r="P83" s="45"/>
      <c r="Q83" s="21"/>
      <c r="R83" s="19"/>
      <c r="S83" s="20"/>
      <c r="T83" s="29"/>
      <c r="U83" s="10">
        <f t="shared" si="7"/>
        <v>71</v>
      </c>
      <c r="V83" s="30" t="e">
        <f t="shared" si="4"/>
        <v>#DIV/0!</v>
      </c>
      <c r="W83" s="14" t="e">
        <f t="shared" si="5"/>
        <v>#DIV/0!</v>
      </c>
      <c r="X83" s="14" t="e">
        <f t="shared" si="6"/>
        <v>#DIV/0!</v>
      </c>
      <c r="Y83" s="48"/>
      <c r="Z83" s="33"/>
    </row>
    <row r="84" spans="1:26" ht="12.75">
      <c r="A84" s="125"/>
      <c r="B84" s="125"/>
      <c r="C84" s="125"/>
      <c r="D84" s="125"/>
      <c r="E84" s="125"/>
      <c r="F84" s="124"/>
      <c r="G84" s="125"/>
      <c r="H84" s="125"/>
      <c r="I84" s="125"/>
      <c r="J84" s="125"/>
      <c r="K84" s="125"/>
      <c r="L84" s="125"/>
      <c r="M84" s="125"/>
      <c r="N84" s="125"/>
      <c r="O84" s="126"/>
      <c r="P84" s="45"/>
      <c r="Q84" s="21"/>
      <c r="R84" s="19"/>
      <c r="S84" s="20"/>
      <c r="T84" s="29"/>
      <c r="U84" s="10">
        <f t="shared" si="7"/>
        <v>72</v>
      </c>
      <c r="V84" s="30" t="e">
        <f t="shared" si="4"/>
        <v>#DIV/0!</v>
      </c>
      <c r="W84" s="14" t="e">
        <f t="shared" si="5"/>
        <v>#DIV/0!</v>
      </c>
      <c r="X84" s="14" t="e">
        <f t="shared" si="6"/>
        <v>#DIV/0!</v>
      </c>
      <c r="Y84" s="48"/>
      <c r="Z84" s="33"/>
    </row>
    <row r="85" spans="1:26" ht="12.75">
      <c r="A85" s="125"/>
      <c r="B85" s="125"/>
      <c r="C85" s="125"/>
      <c r="D85" s="125"/>
      <c r="E85" s="125"/>
      <c r="F85" s="124"/>
      <c r="G85" s="125"/>
      <c r="H85" s="125"/>
      <c r="I85" s="125"/>
      <c r="J85" s="125"/>
      <c r="K85" s="125"/>
      <c r="L85" s="125"/>
      <c r="M85" s="125"/>
      <c r="N85" s="125"/>
      <c r="O85" s="126"/>
      <c r="P85" s="45"/>
      <c r="Q85" s="21"/>
      <c r="R85" s="19"/>
      <c r="S85" s="20"/>
      <c r="T85" s="29"/>
      <c r="U85" s="10">
        <f t="shared" si="7"/>
        <v>73</v>
      </c>
      <c r="V85" s="30" t="e">
        <f t="shared" si="4"/>
        <v>#DIV/0!</v>
      </c>
      <c r="W85" s="14" t="e">
        <f t="shared" si="5"/>
        <v>#DIV/0!</v>
      </c>
      <c r="X85" s="14" t="e">
        <f t="shared" si="6"/>
        <v>#DIV/0!</v>
      </c>
      <c r="Y85" s="48"/>
      <c r="Z85" s="33"/>
    </row>
    <row r="86" spans="1:26" ht="12.75">
      <c r="A86" s="125"/>
      <c r="B86" s="125"/>
      <c r="C86" s="125"/>
      <c r="D86" s="125"/>
      <c r="E86" s="125"/>
      <c r="F86" s="124"/>
      <c r="G86" s="125"/>
      <c r="H86" s="125"/>
      <c r="I86" s="125"/>
      <c r="J86" s="125"/>
      <c r="K86" s="125"/>
      <c r="L86" s="125"/>
      <c r="M86" s="125"/>
      <c r="N86" s="125"/>
      <c r="O86" s="126"/>
      <c r="P86" s="45"/>
      <c r="Q86" s="25"/>
      <c r="R86" s="19"/>
      <c r="S86" s="20"/>
      <c r="T86" s="29"/>
      <c r="U86" s="10">
        <f t="shared" si="7"/>
        <v>74</v>
      </c>
      <c r="V86" s="30" t="e">
        <f t="shared" si="4"/>
        <v>#DIV/0!</v>
      </c>
      <c r="W86" s="14" t="e">
        <f t="shared" si="5"/>
        <v>#DIV/0!</v>
      </c>
      <c r="X86" s="14" t="e">
        <f t="shared" si="6"/>
        <v>#DIV/0!</v>
      </c>
      <c r="Y86" s="48"/>
      <c r="Z86" s="33"/>
    </row>
    <row r="87" spans="1:26" ht="12.75">
      <c r="A87" s="125"/>
      <c r="B87" s="125"/>
      <c r="C87" s="125"/>
      <c r="D87" s="125"/>
      <c r="E87" s="125"/>
      <c r="F87" s="124"/>
      <c r="G87" s="125"/>
      <c r="H87" s="125"/>
      <c r="I87" s="125"/>
      <c r="J87" s="125"/>
      <c r="K87" s="125"/>
      <c r="L87" s="125"/>
      <c r="M87" s="125"/>
      <c r="N87" s="125"/>
      <c r="O87" s="126"/>
      <c r="P87" s="45"/>
      <c r="Q87" s="13"/>
      <c r="R87" s="19"/>
      <c r="S87" s="20"/>
      <c r="T87" s="29"/>
      <c r="U87" s="10">
        <f t="shared" si="7"/>
        <v>75</v>
      </c>
      <c r="V87" s="30" t="e">
        <f t="shared" si="4"/>
        <v>#DIV/0!</v>
      </c>
      <c r="W87" s="14" t="e">
        <f t="shared" si="5"/>
        <v>#DIV/0!</v>
      </c>
      <c r="X87" s="14" t="e">
        <f t="shared" si="6"/>
        <v>#DIV/0!</v>
      </c>
      <c r="Y87" s="48"/>
      <c r="Z87" s="33"/>
    </row>
    <row r="88" spans="1:26" ht="12.75">
      <c r="A88" s="125"/>
      <c r="B88" s="125"/>
      <c r="C88" s="125"/>
      <c r="D88" s="125"/>
      <c r="E88" s="125"/>
      <c r="F88" s="124"/>
      <c r="G88" s="125"/>
      <c r="H88" s="125"/>
      <c r="I88" s="125"/>
      <c r="J88" s="125"/>
      <c r="K88" s="125"/>
      <c r="L88" s="125"/>
      <c r="M88" s="125"/>
      <c r="N88" s="125"/>
      <c r="O88" s="126"/>
      <c r="P88" s="45"/>
      <c r="Q88" s="71"/>
      <c r="R88" s="19"/>
      <c r="S88" s="20"/>
      <c r="T88" s="29"/>
      <c r="U88" s="10">
        <f t="shared" si="7"/>
        <v>76</v>
      </c>
      <c r="V88" s="30" t="e">
        <f t="shared" si="4"/>
        <v>#DIV/0!</v>
      </c>
      <c r="W88" s="14" t="e">
        <f t="shared" si="5"/>
        <v>#DIV/0!</v>
      </c>
      <c r="X88" s="14" t="e">
        <f t="shared" si="6"/>
        <v>#DIV/0!</v>
      </c>
      <c r="Y88" s="48"/>
      <c r="Z88" s="33"/>
    </row>
    <row r="89" spans="1:26" ht="12.75">
      <c r="A89" s="125"/>
      <c r="B89" s="125"/>
      <c r="C89" s="125"/>
      <c r="D89" s="125"/>
      <c r="E89" s="125"/>
      <c r="F89" s="124"/>
      <c r="G89" s="125"/>
      <c r="H89" s="125"/>
      <c r="I89" s="125"/>
      <c r="J89" s="125"/>
      <c r="K89" s="125"/>
      <c r="L89" s="125"/>
      <c r="M89" s="125"/>
      <c r="N89" s="125"/>
      <c r="O89" s="126"/>
      <c r="P89" s="45"/>
      <c r="Q89" s="71"/>
      <c r="R89" s="19"/>
      <c r="S89" s="20"/>
      <c r="T89" s="29"/>
      <c r="U89" s="10">
        <f t="shared" si="7"/>
        <v>77</v>
      </c>
      <c r="V89" s="30" t="e">
        <f t="shared" si="4"/>
        <v>#DIV/0!</v>
      </c>
      <c r="W89" s="14" t="e">
        <f t="shared" si="5"/>
        <v>#DIV/0!</v>
      </c>
      <c r="X89" s="14" t="e">
        <f t="shared" si="6"/>
        <v>#DIV/0!</v>
      </c>
      <c r="Y89" s="48"/>
      <c r="Z89" s="33"/>
    </row>
    <row r="90" spans="1:26" ht="12.75">
      <c r="A90" s="125"/>
      <c r="B90" s="125"/>
      <c r="C90" s="125"/>
      <c r="D90" s="125"/>
      <c r="E90" s="125"/>
      <c r="F90" s="124"/>
      <c r="G90" s="125"/>
      <c r="H90" s="125"/>
      <c r="I90" s="125"/>
      <c r="J90" s="125"/>
      <c r="K90" s="125"/>
      <c r="L90" s="125"/>
      <c r="M90" s="125"/>
      <c r="N90" s="125"/>
      <c r="O90" s="126"/>
      <c r="P90" s="45"/>
      <c r="Q90" s="71"/>
      <c r="R90" s="19"/>
      <c r="S90" s="20"/>
      <c r="T90" s="29"/>
      <c r="U90" s="10">
        <f t="shared" si="7"/>
        <v>78</v>
      </c>
      <c r="V90" s="30" t="e">
        <f t="shared" si="4"/>
        <v>#DIV/0!</v>
      </c>
      <c r="W90" s="14" t="e">
        <f t="shared" si="5"/>
        <v>#DIV/0!</v>
      </c>
      <c r="X90" s="14" t="e">
        <f t="shared" si="6"/>
        <v>#DIV/0!</v>
      </c>
      <c r="Y90" s="48"/>
      <c r="Z90" s="33"/>
    </row>
    <row r="91" spans="1:26" ht="12.75">
      <c r="A91" s="125"/>
      <c r="B91" s="125"/>
      <c r="C91" s="125"/>
      <c r="D91" s="125"/>
      <c r="E91" s="125"/>
      <c r="F91" s="124"/>
      <c r="G91" s="125"/>
      <c r="H91" s="125"/>
      <c r="I91" s="125"/>
      <c r="J91" s="125"/>
      <c r="K91" s="125"/>
      <c r="L91" s="125"/>
      <c r="M91" s="125"/>
      <c r="N91" s="125"/>
      <c r="O91" s="126"/>
      <c r="P91" s="45"/>
      <c r="Q91" s="71"/>
      <c r="R91" s="19"/>
      <c r="S91" s="20"/>
      <c r="T91" s="29"/>
      <c r="U91" s="10">
        <f t="shared" si="7"/>
        <v>79</v>
      </c>
      <c r="V91" s="30" t="e">
        <f t="shared" si="4"/>
        <v>#DIV/0!</v>
      </c>
      <c r="W91" s="14" t="e">
        <f t="shared" si="5"/>
        <v>#DIV/0!</v>
      </c>
      <c r="X91" s="14" t="e">
        <f t="shared" si="6"/>
        <v>#DIV/0!</v>
      </c>
      <c r="Y91" s="48"/>
      <c r="Z91" s="33"/>
    </row>
    <row r="92" spans="1:26" ht="12.75">
      <c r="A92" s="125"/>
      <c r="B92" s="125"/>
      <c r="C92" s="125"/>
      <c r="D92" s="125"/>
      <c r="E92" s="125"/>
      <c r="F92" s="124"/>
      <c r="G92" s="125"/>
      <c r="H92" s="125"/>
      <c r="I92" s="125"/>
      <c r="J92" s="125"/>
      <c r="K92" s="125"/>
      <c r="L92" s="125"/>
      <c r="M92" s="125"/>
      <c r="N92" s="125"/>
      <c r="O92" s="126"/>
      <c r="P92" s="45"/>
      <c r="Q92" s="71"/>
      <c r="R92" s="19"/>
      <c r="S92" s="20"/>
      <c r="T92" s="29"/>
      <c r="U92" s="10">
        <f t="shared" si="7"/>
        <v>80</v>
      </c>
      <c r="V92" s="30" t="e">
        <f t="shared" si="4"/>
        <v>#DIV/0!</v>
      </c>
      <c r="W92" s="14" t="e">
        <f t="shared" si="5"/>
        <v>#DIV/0!</v>
      </c>
      <c r="X92" s="14" t="e">
        <f t="shared" si="6"/>
        <v>#DIV/0!</v>
      </c>
      <c r="Y92" s="48"/>
      <c r="Z92" s="33"/>
    </row>
    <row r="93" spans="1:26" ht="12.75">
      <c r="A93" s="125"/>
      <c r="B93" s="125"/>
      <c r="C93" s="125"/>
      <c r="D93" s="125"/>
      <c r="E93" s="125"/>
      <c r="F93" s="124"/>
      <c r="G93" s="125"/>
      <c r="H93" s="125"/>
      <c r="I93" s="125"/>
      <c r="J93" s="125"/>
      <c r="K93" s="125"/>
      <c r="L93" s="125"/>
      <c r="M93" s="125"/>
      <c r="N93" s="125"/>
      <c r="O93" s="126"/>
      <c r="P93" s="45"/>
      <c r="Q93" s="71"/>
      <c r="R93" s="19"/>
      <c r="S93" s="20"/>
      <c r="T93" s="29"/>
      <c r="U93" s="10">
        <f t="shared" si="7"/>
        <v>81</v>
      </c>
      <c r="V93" s="30" t="e">
        <f t="shared" si="4"/>
        <v>#DIV/0!</v>
      </c>
      <c r="W93" s="14" t="e">
        <f t="shared" si="5"/>
        <v>#DIV/0!</v>
      </c>
      <c r="X93" s="14" t="e">
        <f t="shared" si="6"/>
        <v>#DIV/0!</v>
      </c>
      <c r="Y93" s="48"/>
      <c r="Z93" s="33"/>
    </row>
    <row r="94" spans="1:26" ht="12.75">
      <c r="A94" s="125"/>
      <c r="B94" s="125"/>
      <c r="C94" s="125"/>
      <c r="D94" s="125"/>
      <c r="E94" s="125"/>
      <c r="F94" s="124"/>
      <c r="G94" s="125"/>
      <c r="H94" s="125"/>
      <c r="I94" s="125"/>
      <c r="J94" s="125"/>
      <c r="K94" s="125"/>
      <c r="L94" s="125"/>
      <c r="M94" s="125"/>
      <c r="N94" s="125"/>
      <c r="O94" s="126"/>
      <c r="P94" s="45"/>
      <c r="Q94" s="71"/>
      <c r="R94" s="19"/>
      <c r="S94" s="20"/>
      <c r="T94" s="29"/>
      <c r="U94" s="10">
        <f t="shared" si="7"/>
        <v>82</v>
      </c>
      <c r="V94" s="30" t="e">
        <f t="shared" si="4"/>
        <v>#DIV/0!</v>
      </c>
      <c r="W94" s="14" t="e">
        <f t="shared" si="5"/>
        <v>#DIV/0!</v>
      </c>
      <c r="X94" s="14" t="e">
        <f t="shared" si="6"/>
        <v>#DIV/0!</v>
      </c>
      <c r="Y94" s="48"/>
      <c r="Z94" s="33"/>
    </row>
    <row r="95" spans="1:26" ht="12.75">
      <c r="A95" s="125"/>
      <c r="B95" s="125"/>
      <c r="C95" s="125"/>
      <c r="D95" s="125"/>
      <c r="E95" s="125"/>
      <c r="F95" s="124"/>
      <c r="G95" s="125"/>
      <c r="H95" s="125"/>
      <c r="I95" s="125"/>
      <c r="J95" s="125"/>
      <c r="K95" s="125"/>
      <c r="L95" s="125"/>
      <c r="M95" s="125"/>
      <c r="N95" s="125"/>
      <c r="O95" s="126"/>
      <c r="P95" s="45"/>
      <c r="Q95" s="25"/>
      <c r="R95" s="19"/>
      <c r="S95" s="20"/>
      <c r="T95" s="29"/>
      <c r="U95" s="10">
        <f t="shared" si="7"/>
        <v>83</v>
      </c>
      <c r="V95" s="30" t="e">
        <f t="shared" si="4"/>
        <v>#DIV/0!</v>
      </c>
      <c r="W95" s="14" t="e">
        <f t="shared" si="5"/>
        <v>#DIV/0!</v>
      </c>
      <c r="X95" s="14" t="e">
        <f t="shared" si="6"/>
        <v>#DIV/0!</v>
      </c>
      <c r="Y95" s="48"/>
      <c r="Z95" s="33"/>
    </row>
    <row r="96" spans="1:26" ht="12.75">
      <c r="A96" s="125"/>
      <c r="B96" s="125"/>
      <c r="C96" s="125"/>
      <c r="D96" s="125"/>
      <c r="E96" s="125"/>
      <c r="F96" s="124"/>
      <c r="G96" s="125"/>
      <c r="H96" s="125"/>
      <c r="I96" s="125"/>
      <c r="J96" s="125"/>
      <c r="K96" s="125"/>
      <c r="L96" s="125"/>
      <c r="M96" s="125"/>
      <c r="N96" s="125"/>
      <c r="O96" s="126"/>
      <c r="P96" s="45"/>
      <c r="Q96" s="25"/>
      <c r="R96" s="19"/>
      <c r="S96" s="20"/>
      <c r="T96" s="29"/>
      <c r="U96" s="10">
        <f t="shared" si="7"/>
        <v>84</v>
      </c>
      <c r="V96" s="30" t="e">
        <f t="shared" si="4"/>
        <v>#DIV/0!</v>
      </c>
      <c r="W96" s="14" t="e">
        <f t="shared" si="5"/>
        <v>#DIV/0!</v>
      </c>
      <c r="X96" s="14" t="e">
        <f t="shared" si="6"/>
        <v>#DIV/0!</v>
      </c>
      <c r="Y96" s="48"/>
      <c r="Z96" s="33"/>
    </row>
    <row r="97" spans="1:26" ht="12.75">
      <c r="A97" s="125"/>
      <c r="B97" s="125"/>
      <c r="C97" s="125"/>
      <c r="D97" s="125"/>
      <c r="E97" s="125"/>
      <c r="F97" s="124"/>
      <c r="G97" s="125"/>
      <c r="H97" s="125"/>
      <c r="I97" s="125"/>
      <c r="J97" s="125"/>
      <c r="K97" s="125"/>
      <c r="L97" s="125"/>
      <c r="M97" s="125"/>
      <c r="N97" s="125"/>
      <c r="O97" s="126"/>
      <c r="P97" s="45"/>
      <c r="Q97" s="25"/>
      <c r="R97" s="19"/>
      <c r="S97" s="20"/>
      <c r="T97" s="29"/>
      <c r="U97" s="10">
        <f t="shared" si="7"/>
        <v>85</v>
      </c>
      <c r="V97" s="30" t="e">
        <f t="shared" si="4"/>
        <v>#DIV/0!</v>
      </c>
      <c r="W97" s="14" t="e">
        <f t="shared" si="5"/>
        <v>#DIV/0!</v>
      </c>
      <c r="X97" s="14" t="e">
        <f t="shared" si="6"/>
        <v>#DIV/0!</v>
      </c>
      <c r="Y97" s="48"/>
      <c r="Z97" s="33"/>
    </row>
    <row r="98" spans="1:26" ht="12.75">
      <c r="A98" s="125"/>
      <c r="B98" s="125"/>
      <c r="C98" s="125"/>
      <c r="D98" s="125"/>
      <c r="E98" s="125"/>
      <c r="F98" s="124"/>
      <c r="G98" s="125"/>
      <c r="H98" s="125"/>
      <c r="I98" s="125"/>
      <c r="J98" s="125"/>
      <c r="K98" s="125"/>
      <c r="L98" s="125"/>
      <c r="M98" s="125"/>
      <c r="N98" s="125"/>
      <c r="O98" s="126"/>
      <c r="P98" s="45"/>
      <c r="Q98" s="25"/>
      <c r="R98" s="19"/>
      <c r="S98" s="20"/>
      <c r="T98" s="29"/>
      <c r="U98" s="10">
        <f t="shared" si="7"/>
        <v>86</v>
      </c>
      <c r="V98" s="30" t="e">
        <f t="shared" si="4"/>
        <v>#DIV/0!</v>
      </c>
      <c r="W98" s="14" t="e">
        <f t="shared" si="5"/>
        <v>#DIV/0!</v>
      </c>
      <c r="X98" s="14" t="e">
        <f t="shared" si="6"/>
        <v>#DIV/0!</v>
      </c>
      <c r="Y98" s="48"/>
      <c r="Z98" s="33"/>
    </row>
    <row r="99" spans="1:26" ht="12.75">
      <c r="A99" s="125"/>
      <c r="B99" s="125"/>
      <c r="C99" s="125"/>
      <c r="D99" s="125"/>
      <c r="E99" s="125"/>
      <c r="F99" s="124"/>
      <c r="G99" s="125"/>
      <c r="H99" s="125"/>
      <c r="I99" s="125"/>
      <c r="J99" s="125"/>
      <c r="K99" s="125"/>
      <c r="L99" s="125"/>
      <c r="M99" s="125"/>
      <c r="N99" s="125"/>
      <c r="O99" s="126"/>
      <c r="P99" s="45"/>
      <c r="Q99" s="25"/>
      <c r="R99" s="19"/>
      <c r="S99" s="20"/>
      <c r="T99" s="29"/>
      <c r="U99" s="10">
        <f t="shared" si="7"/>
        <v>87</v>
      </c>
      <c r="V99" s="30" t="e">
        <f t="shared" si="4"/>
        <v>#DIV/0!</v>
      </c>
      <c r="W99" s="14" t="e">
        <f t="shared" si="5"/>
        <v>#DIV/0!</v>
      </c>
      <c r="X99" s="14" t="e">
        <f t="shared" si="6"/>
        <v>#DIV/0!</v>
      </c>
      <c r="Y99" s="48"/>
      <c r="Z99" s="33"/>
    </row>
    <row r="100" spans="1:26" ht="12.75">
      <c r="A100" s="125"/>
      <c r="B100" s="125"/>
      <c r="C100" s="125"/>
      <c r="D100" s="125"/>
      <c r="E100" s="125"/>
      <c r="F100" s="124"/>
      <c r="G100" s="125"/>
      <c r="H100" s="125"/>
      <c r="I100" s="125"/>
      <c r="J100" s="125"/>
      <c r="K100" s="125"/>
      <c r="L100" s="125"/>
      <c r="M100" s="125"/>
      <c r="N100" s="125"/>
      <c r="O100" s="126"/>
      <c r="P100" s="45"/>
      <c r="Q100" s="71"/>
      <c r="R100" s="19"/>
      <c r="S100" s="20"/>
      <c r="T100" s="29"/>
      <c r="U100" s="10">
        <f t="shared" si="7"/>
        <v>88</v>
      </c>
      <c r="V100" s="30" t="e">
        <f t="shared" si="4"/>
        <v>#DIV/0!</v>
      </c>
      <c r="W100" s="14" t="e">
        <f t="shared" si="5"/>
        <v>#DIV/0!</v>
      </c>
      <c r="X100" s="14" t="e">
        <f t="shared" si="6"/>
        <v>#DIV/0!</v>
      </c>
      <c r="Y100" s="48"/>
      <c r="Z100" s="33"/>
    </row>
    <row r="101" spans="1:26" ht="12.75">
      <c r="A101" s="125"/>
      <c r="B101" s="125"/>
      <c r="C101" s="125"/>
      <c r="D101" s="125"/>
      <c r="E101" s="125"/>
      <c r="F101" s="124"/>
      <c r="G101" s="125"/>
      <c r="H101" s="125"/>
      <c r="I101" s="125"/>
      <c r="J101" s="125"/>
      <c r="K101" s="125"/>
      <c r="L101" s="125"/>
      <c r="M101" s="125"/>
      <c r="N101" s="125"/>
      <c r="O101" s="126"/>
      <c r="P101" s="45"/>
      <c r="Q101" s="71"/>
      <c r="R101" s="19"/>
      <c r="S101" s="20"/>
      <c r="T101" s="29"/>
      <c r="U101" s="10">
        <f t="shared" si="7"/>
        <v>89</v>
      </c>
      <c r="V101" s="30" t="e">
        <f t="shared" si="4"/>
        <v>#DIV/0!</v>
      </c>
      <c r="W101" s="14" t="e">
        <f t="shared" si="5"/>
        <v>#DIV/0!</v>
      </c>
      <c r="X101" s="14" t="e">
        <f t="shared" si="6"/>
        <v>#DIV/0!</v>
      </c>
      <c r="Y101" s="48"/>
      <c r="Z101" s="33"/>
    </row>
    <row r="102" spans="1:26" ht="12.75">
      <c r="A102" s="125"/>
      <c r="B102" s="125"/>
      <c r="C102" s="125"/>
      <c r="D102" s="125"/>
      <c r="E102" s="125"/>
      <c r="F102" s="124"/>
      <c r="G102" s="125"/>
      <c r="H102" s="125"/>
      <c r="I102" s="125"/>
      <c r="J102" s="125"/>
      <c r="K102" s="125"/>
      <c r="L102" s="125"/>
      <c r="M102" s="125"/>
      <c r="N102" s="125"/>
      <c r="O102" s="126"/>
      <c r="P102" s="45"/>
      <c r="Q102" s="71"/>
      <c r="R102" s="19"/>
      <c r="S102" s="20"/>
      <c r="T102" s="29"/>
      <c r="U102" s="10">
        <f t="shared" si="7"/>
        <v>90</v>
      </c>
      <c r="V102" s="30" t="e">
        <f t="shared" si="4"/>
        <v>#DIV/0!</v>
      </c>
      <c r="W102" s="14" t="e">
        <f t="shared" si="5"/>
        <v>#DIV/0!</v>
      </c>
      <c r="X102" s="14" t="e">
        <f t="shared" si="6"/>
        <v>#DIV/0!</v>
      </c>
      <c r="Y102" s="48"/>
      <c r="Z102" s="33"/>
    </row>
    <row r="103" spans="1:26" ht="12.75">
      <c r="A103" s="125"/>
      <c r="B103" s="125"/>
      <c r="C103" s="125"/>
      <c r="D103" s="125"/>
      <c r="E103" s="125"/>
      <c r="F103" s="124"/>
      <c r="G103" s="125"/>
      <c r="H103" s="125"/>
      <c r="I103" s="125"/>
      <c r="J103" s="125"/>
      <c r="K103" s="125"/>
      <c r="L103" s="125"/>
      <c r="M103" s="125"/>
      <c r="N103" s="125"/>
      <c r="O103" s="126"/>
      <c r="P103" s="45"/>
      <c r="Q103" s="17"/>
      <c r="R103" s="19"/>
      <c r="S103" s="20"/>
      <c r="T103" s="29"/>
      <c r="U103" s="10">
        <f t="shared" si="7"/>
        <v>91</v>
      </c>
      <c r="V103" s="30" t="e">
        <f t="shared" si="4"/>
        <v>#DIV/0!</v>
      </c>
      <c r="W103" s="14" t="e">
        <f t="shared" si="5"/>
        <v>#DIV/0!</v>
      </c>
      <c r="X103" s="14" t="e">
        <f t="shared" si="6"/>
        <v>#DIV/0!</v>
      </c>
      <c r="Y103" s="48"/>
      <c r="Z103" s="33"/>
    </row>
    <row r="104" spans="1:26" ht="12.75">
      <c r="A104" s="125"/>
      <c r="B104" s="125"/>
      <c r="C104" s="125"/>
      <c r="D104" s="125"/>
      <c r="E104" s="125"/>
      <c r="F104" s="124"/>
      <c r="G104" s="125"/>
      <c r="H104" s="125"/>
      <c r="I104" s="125"/>
      <c r="J104" s="125"/>
      <c r="K104" s="125"/>
      <c r="L104" s="125"/>
      <c r="M104" s="125"/>
      <c r="N104" s="125"/>
      <c r="O104" s="126"/>
      <c r="P104" s="45"/>
      <c r="Q104" s="17"/>
      <c r="R104" s="19"/>
      <c r="S104" s="20"/>
      <c r="T104" s="29"/>
      <c r="U104" s="10">
        <f t="shared" si="7"/>
        <v>92</v>
      </c>
      <c r="V104" s="30" t="e">
        <f t="shared" si="4"/>
        <v>#DIV/0!</v>
      </c>
      <c r="W104" s="14" t="e">
        <f t="shared" si="5"/>
        <v>#DIV/0!</v>
      </c>
      <c r="X104" s="14" t="e">
        <f t="shared" si="6"/>
        <v>#DIV/0!</v>
      </c>
      <c r="Y104" s="48"/>
      <c r="Z104" s="33"/>
    </row>
    <row r="105" spans="1:26" ht="12.75">
      <c r="A105" s="125"/>
      <c r="B105" s="125"/>
      <c r="C105" s="125"/>
      <c r="D105" s="125"/>
      <c r="E105" s="125"/>
      <c r="F105" s="124"/>
      <c r="G105" s="125"/>
      <c r="H105" s="125"/>
      <c r="I105" s="125"/>
      <c r="J105" s="125"/>
      <c r="K105" s="125"/>
      <c r="L105" s="125"/>
      <c r="M105" s="125"/>
      <c r="N105" s="125"/>
      <c r="O105" s="126"/>
      <c r="P105" s="45"/>
      <c r="Q105" s="17"/>
      <c r="R105" s="19"/>
      <c r="S105" s="20"/>
      <c r="T105" s="29"/>
      <c r="U105" s="10">
        <f t="shared" si="7"/>
        <v>93</v>
      </c>
      <c r="V105" s="30" t="e">
        <f t="shared" si="4"/>
        <v>#DIV/0!</v>
      </c>
      <c r="W105" s="14" t="e">
        <f t="shared" si="5"/>
        <v>#DIV/0!</v>
      </c>
      <c r="X105" s="14" t="e">
        <f t="shared" si="6"/>
        <v>#DIV/0!</v>
      </c>
      <c r="Y105" s="48"/>
      <c r="Z105" s="33"/>
    </row>
    <row r="106" spans="1:26" ht="12.75">
      <c r="A106" s="125"/>
      <c r="B106" s="125"/>
      <c r="C106" s="125"/>
      <c r="D106" s="125"/>
      <c r="E106" s="125"/>
      <c r="F106" s="124"/>
      <c r="G106" s="125"/>
      <c r="H106" s="125"/>
      <c r="I106" s="125"/>
      <c r="J106" s="125"/>
      <c r="K106" s="125"/>
      <c r="L106" s="125"/>
      <c r="M106" s="125"/>
      <c r="N106" s="125"/>
      <c r="O106" s="126"/>
      <c r="P106" s="45"/>
      <c r="Q106" s="17"/>
      <c r="R106" s="19"/>
      <c r="S106" s="20"/>
      <c r="T106" s="29"/>
      <c r="U106" s="10">
        <f t="shared" si="7"/>
        <v>94</v>
      </c>
      <c r="V106" s="30" t="e">
        <f t="shared" si="4"/>
        <v>#DIV/0!</v>
      </c>
      <c r="W106" s="14" t="e">
        <f t="shared" si="5"/>
        <v>#DIV/0!</v>
      </c>
      <c r="X106" s="14" t="e">
        <f t="shared" si="6"/>
        <v>#DIV/0!</v>
      </c>
      <c r="Y106" s="48"/>
      <c r="Z106" s="33"/>
    </row>
    <row r="107" spans="1:26" ht="12.75">
      <c r="A107" s="125"/>
      <c r="B107" s="125"/>
      <c r="C107" s="125"/>
      <c r="D107" s="125"/>
      <c r="E107" s="125"/>
      <c r="F107" s="124"/>
      <c r="G107" s="125"/>
      <c r="H107" s="125"/>
      <c r="I107" s="125"/>
      <c r="J107" s="125"/>
      <c r="K107" s="125"/>
      <c r="L107" s="125"/>
      <c r="M107" s="125"/>
      <c r="N107" s="125"/>
      <c r="O107" s="126"/>
      <c r="P107" s="45"/>
      <c r="Q107" s="17"/>
      <c r="R107" s="19"/>
      <c r="S107" s="20"/>
      <c r="T107" s="29"/>
      <c r="U107" s="10">
        <f t="shared" si="7"/>
        <v>95</v>
      </c>
      <c r="V107" s="30" t="e">
        <f t="shared" si="4"/>
        <v>#DIV/0!</v>
      </c>
      <c r="W107" s="14" t="e">
        <f t="shared" si="5"/>
        <v>#DIV/0!</v>
      </c>
      <c r="X107" s="14" t="e">
        <f t="shared" si="6"/>
        <v>#DIV/0!</v>
      </c>
      <c r="Y107" s="48"/>
      <c r="Z107" s="33"/>
    </row>
    <row r="108" spans="1:26" ht="12.75">
      <c r="A108" s="125"/>
      <c r="B108" s="125"/>
      <c r="C108" s="125"/>
      <c r="D108" s="125"/>
      <c r="E108" s="125"/>
      <c r="F108" s="124"/>
      <c r="G108" s="125"/>
      <c r="H108" s="125"/>
      <c r="I108" s="125"/>
      <c r="J108" s="125"/>
      <c r="K108" s="125"/>
      <c r="L108" s="125"/>
      <c r="M108" s="125"/>
      <c r="N108" s="125"/>
      <c r="O108" s="126"/>
      <c r="P108" s="45"/>
      <c r="Q108" s="17"/>
      <c r="R108" s="19"/>
      <c r="S108" s="20"/>
      <c r="T108" s="29"/>
      <c r="U108" s="10">
        <f t="shared" si="7"/>
        <v>96</v>
      </c>
      <c r="V108" s="30" t="e">
        <f t="shared" si="4"/>
        <v>#DIV/0!</v>
      </c>
      <c r="W108" s="14" t="e">
        <f t="shared" si="5"/>
        <v>#DIV/0!</v>
      </c>
      <c r="X108" s="14" t="e">
        <f t="shared" si="6"/>
        <v>#DIV/0!</v>
      </c>
      <c r="Y108" s="48"/>
      <c r="Z108" s="33"/>
    </row>
    <row r="109" spans="1:26" ht="12.75">
      <c r="A109" s="125"/>
      <c r="B109" s="125"/>
      <c r="C109" s="125"/>
      <c r="D109" s="125"/>
      <c r="E109" s="125"/>
      <c r="F109" s="124"/>
      <c r="G109" s="125"/>
      <c r="H109" s="125"/>
      <c r="I109" s="125"/>
      <c r="J109" s="125"/>
      <c r="K109" s="125"/>
      <c r="L109" s="125"/>
      <c r="M109" s="125"/>
      <c r="N109" s="125"/>
      <c r="O109" s="126"/>
      <c r="P109" s="45"/>
      <c r="Q109" s="17"/>
      <c r="R109" s="19"/>
      <c r="S109" s="20"/>
      <c r="T109" s="29"/>
      <c r="U109" s="10">
        <f t="shared" si="7"/>
        <v>97</v>
      </c>
      <c r="V109" s="30" t="e">
        <f t="shared" si="4"/>
        <v>#DIV/0!</v>
      </c>
      <c r="W109" s="14" t="e">
        <f t="shared" si="5"/>
        <v>#DIV/0!</v>
      </c>
      <c r="X109" s="14" t="e">
        <f t="shared" si="6"/>
        <v>#DIV/0!</v>
      </c>
      <c r="Y109" s="48"/>
      <c r="Z109" s="33"/>
    </row>
    <row r="110" spans="1:26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4"/>
      <c r="P110" s="45"/>
      <c r="Q110" s="17"/>
      <c r="R110" s="19"/>
      <c r="S110" s="20"/>
      <c r="T110" s="29"/>
      <c r="U110" s="10">
        <f t="shared" si="7"/>
        <v>98</v>
      </c>
      <c r="V110" s="30" t="e">
        <f t="shared" si="4"/>
        <v>#DIV/0!</v>
      </c>
      <c r="W110" s="14" t="e">
        <f t="shared" si="5"/>
        <v>#DIV/0!</v>
      </c>
      <c r="X110" s="14" t="e">
        <f t="shared" si="6"/>
        <v>#DIV/0!</v>
      </c>
      <c r="Y110" s="48"/>
      <c r="Z110" s="33"/>
    </row>
    <row r="111" spans="1:26" ht="12.75">
      <c r="A111" s="125"/>
      <c r="B111" s="125"/>
      <c r="C111" s="125"/>
      <c r="D111" s="125"/>
      <c r="E111" s="125"/>
      <c r="F111" s="124"/>
      <c r="G111" s="125"/>
      <c r="H111" s="125"/>
      <c r="I111" s="125"/>
      <c r="J111" s="125"/>
      <c r="K111" s="125"/>
      <c r="L111" s="125"/>
      <c r="M111" s="125"/>
      <c r="N111" s="125"/>
      <c r="O111" s="126"/>
      <c r="P111" s="45"/>
      <c r="Q111" s="22"/>
      <c r="R111" s="19"/>
      <c r="S111" s="20"/>
      <c r="T111" s="29"/>
      <c r="U111" s="10">
        <f t="shared" si="7"/>
        <v>99</v>
      </c>
      <c r="V111" s="30" t="e">
        <f t="shared" si="4"/>
        <v>#DIV/0!</v>
      </c>
      <c r="W111" s="14" t="e">
        <f t="shared" si="5"/>
        <v>#DIV/0!</v>
      </c>
      <c r="X111" s="14" t="e">
        <f t="shared" si="6"/>
        <v>#DIV/0!</v>
      </c>
      <c r="Y111" s="48"/>
      <c r="Z111" s="33"/>
    </row>
    <row r="112" spans="1:26" ht="12.75">
      <c r="A112" s="125"/>
      <c r="B112" s="125"/>
      <c r="C112" s="125"/>
      <c r="D112" s="125"/>
      <c r="E112" s="125"/>
      <c r="F112" s="124"/>
      <c r="G112" s="125"/>
      <c r="H112" s="125"/>
      <c r="I112" s="125"/>
      <c r="J112" s="125"/>
      <c r="K112" s="125"/>
      <c r="L112" s="125"/>
      <c r="M112" s="125"/>
      <c r="N112" s="125"/>
      <c r="O112" s="126"/>
      <c r="P112" s="45"/>
      <c r="Q112" s="8"/>
      <c r="R112" s="19"/>
      <c r="S112" s="20"/>
      <c r="T112" s="29"/>
      <c r="U112" s="10">
        <f t="shared" si="7"/>
        <v>100</v>
      </c>
      <c r="V112" s="30" t="e">
        <f t="shared" si="4"/>
        <v>#DIV/0!</v>
      </c>
      <c r="W112" s="14" t="e">
        <f t="shared" si="5"/>
        <v>#DIV/0!</v>
      </c>
      <c r="X112" s="14" t="e">
        <f t="shared" si="6"/>
        <v>#DIV/0!</v>
      </c>
      <c r="Y112" s="48"/>
      <c r="Z112" s="33"/>
    </row>
    <row r="113" spans="1:26" ht="12.75">
      <c r="A113" s="125"/>
      <c r="B113" s="125"/>
      <c r="C113" s="125"/>
      <c r="D113" s="125"/>
      <c r="E113" s="125"/>
      <c r="F113" s="124"/>
      <c r="G113" s="125"/>
      <c r="H113" s="125"/>
      <c r="I113" s="125"/>
      <c r="J113" s="125"/>
      <c r="K113" s="125"/>
      <c r="L113" s="125"/>
      <c r="M113" s="125"/>
      <c r="N113" s="125"/>
      <c r="O113" s="126"/>
      <c r="P113" s="45"/>
      <c r="Q113" s="21"/>
      <c r="R113" s="19"/>
      <c r="S113" s="20"/>
      <c r="T113" s="29"/>
      <c r="U113" s="10">
        <f t="shared" si="7"/>
        <v>101</v>
      </c>
      <c r="V113" s="30" t="e">
        <f t="shared" si="4"/>
        <v>#DIV/0!</v>
      </c>
      <c r="W113" s="14" t="e">
        <f t="shared" si="5"/>
        <v>#DIV/0!</v>
      </c>
      <c r="X113" s="14" t="e">
        <f t="shared" si="6"/>
        <v>#DIV/0!</v>
      </c>
      <c r="Y113" s="48"/>
      <c r="Z113" s="33"/>
    </row>
    <row r="114" spans="1:26" ht="12.75">
      <c r="A114" s="125"/>
      <c r="B114" s="125"/>
      <c r="C114" s="125"/>
      <c r="D114" s="125"/>
      <c r="E114" s="125"/>
      <c r="F114" s="124"/>
      <c r="G114" s="125"/>
      <c r="H114" s="125"/>
      <c r="I114" s="125"/>
      <c r="J114" s="125"/>
      <c r="K114" s="125"/>
      <c r="L114" s="125"/>
      <c r="M114" s="125"/>
      <c r="N114" s="125"/>
      <c r="O114" s="126"/>
      <c r="P114" s="45"/>
      <c r="Q114" s="21"/>
      <c r="R114" s="19"/>
      <c r="S114" s="20"/>
      <c r="T114" s="29"/>
      <c r="U114" s="10">
        <f t="shared" si="7"/>
        <v>102</v>
      </c>
      <c r="V114" s="30" t="e">
        <f t="shared" si="4"/>
        <v>#DIV/0!</v>
      </c>
      <c r="W114" s="14" t="e">
        <f t="shared" si="5"/>
        <v>#DIV/0!</v>
      </c>
      <c r="X114" s="14" t="e">
        <f t="shared" si="6"/>
        <v>#DIV/0!</v>
      </c>
      <c r="Y114" s="48"/>
      <c r="Z114" s="33"/>
    </row>
    <row r="115" spans="1:26" ht="12.75">
      <c r="A115" s="125"/>
      <c r="B115" s="125"/>
      <c r="C115" s="125"/>
      <c r="D115" s="125"/>
      <c r="E115" s="125"/>
      <c r="F115" s="124"/>
      <c r="G115" s="125"/>
      <c r="H115" s="125"/>
      <c r="I115" s="125"/>
      <c r="J115" s="125"/>
      <c r="K115" s="125"/>
      <c r="L115" s="125"/>
      <c r="M115" s="125"/>
      <c r="N115" s="125"/>
      <c r="O115" s="126"/>
      <c r="P115" s="45"/>
      <c r="Q115" s="21"/>
      <c r="R115" s="19"/>
      <c r="S115" s="20"/>
      <c r="T115" s="29"/>
      <c r="U115" s="10">
        <f t="shared" si="7"/>
        <v>103</v>
      </c>
      <c r="V115" s="30" t="e">
        <f t="shared" si="4"/>
        <v>#DIV/0!</v>
      </c>
      <c r="W115" s="14" t="e">
        <f t="shared" si="5"/>
        <v>#DIV/0!</v>
      </c>
      <c r="X115" s="14" t="e">
        <f t="shared" si="6"/>
        <v>#DIV/0!</v>
      </c>
      <c r="Y115" s="48"/>
      <c r="Z115" s="33"/>
    </row>
    <row r="116" spans="1:26" ht="12.75">
      <c r="A116" s="125"/>
      <c r="B116" s="125"/>
      <c r="C116" s="125"/>
      <c r="D116" s="125"/>
      <c r="E116" s="125"/>
      <c r="F116" s="124"/>
      <c r="G116" s="125"/>
      <c r="H116" s="125"/>
      <c r="I116" s="125"/>
      <c r="J116" s="125"/>
      <c r="K116" s="125"/>
      <c r="L116" s="125"/>
      <c r="M116" s="125"/>
      <c r="N116" s="125"/>
      <c r="O116" s="126"/>
      <c r="P116" s="45"/>
      <c r="Q116" s="8"/>
      <c r="R116" s="19"/>
      <c r="S116" s="20"/>
      <c r="T116" s="29"/>
      <c r="U116" s="10">
        <f t="shared" si="7"/>
        <v>104</v>
      </c>
      <c r="V116" s="30" t="e">
        <f t="shared" si="4"/>
        <v>#DIV/0!</v>
      </c>
      <c r="W116" s="14" t="e">
        <f t="shared" si="5"/>
        <v>#DIV/0!</v>
      </c>
      <c r="X116" s="14" t="e">
        <f t="shared" si="6"/>
        <v>#DIV/0!</v>
      </c>
      <c r="Y116" s="48"/>
      <c r="Z116" s="33"/>
    </row>
    <row r="117" spans="1:26" ht="12.75">
      <c r="A117" s="125"/>
      <c r="B117" s="125"/>
      <c r="C117" s="125"/>
      <c r="D117" s="125"/>
      <c r="E117" s="125"/>
      <c r="F117" s="124"/>
      <c r="G117" s="125"/>
      <c r="H117" s="125"/>
      <c r="I117" s="125"/>
      <c r="J117" s="125"/>
      <c r="K117" s="125"/>
      <c r="L117" s="125"/>
      <c r="M117" s="125"/>
      <c r="N117" s="125"/>
      <c r="O117" s="126"/>
      <c r="P117" s="45"/>
      <c r="Q117" s="8"/>
      <c r="R117" s="19"/>
      <c r="S117" s="20"/>
      <c r="T117" s="29"/>
      <c r="U117" s="10">
        <f t="shared" si="7"/>
        <v>105</v>
      </c>
      <c r="V117" s="30" t="e">
        <f t="shared" si="4"/>
        <v>#DIV/0!</v>
      </c>
      <c r="W117" s="14" t="e">
        <f t="shared" si="5"/>
        <v>#DIV/0!</v>
      </c>
      <c r="X117" s="14" t="e">
        <f t="shared" si="6"/>
        <v>#DIV/0!</v>
      </c>
      <c r="Y117" s="48"/>
      <c r="Z117" s="33"/>
    </row>
    <row r="118" spans="1:26" ht="12.75">
      <c r="A118" s="125"/>
      <c r="B118" s="125"/>
      <c r="C118" s="125"/>
      <c r="D118" s="125"/>
      <c r="E118" s="125"/>
      <c r="F118" s="124"/>
      <c r="G118" s="125"/>
      <c r="H118" s="125"/>
      <c r="I118" s="125"/>
      <c r="J118" s="125"/>
      <c r="K118" s="125"/>
      <c r="L118" s="125"/>
      <c r="M118" s="125"/>
      <c r="N118" s="125"/>
      <c r="O118" s="126"/>
      <c r="P118" s="45"/>
      <c r="Q118" s="8"/>
      <c r="R118" s="19"/>
      <c r="S118" s="20"/>
      <c r="T118" s="29"/>
      <c r="U118" s="10">
        <f t="shared" si="7"/>
        <v>106</v>
      </c>
      <c r="V118" s="30" t="e">
        <f t="shared" si="4"/>
        <v>#DIV/0!</v>
      </c>
      <c r="W118" s="14" t="e">
        <f t="shared" si="5"/>
        <v>#DIV/0!</v>
      </c>
      <c r="X118" s="14" t="e">
        <f t="shared" si="6"/>
        <v>#DIV/0!</v>
      </c>
      <c r="Y118" s="48"/>
      <c r="Z118" s="33"/>
    </row>
    <row r="119" spans="1:26" ht="12.75">
      <c r="A119" s="125"/>
      <c r="B119" s="125"/>
      <c r="C119" s="125"/>
      <c r="D119" s="125"/>
      <c r="E119" s="125"/>
      <c r="F119" s="124"/>
      <c r="G119" s="125"/>
      <c r="H119" s="125"/>
      <c r="I119" s="125"/>
      <c r="J119" s="125"/>
      <c r="K119" s="125"/>
      <c r="L119" s="125"/>
      <c r="M119" s="125"/>
      <c r="N119" s="125"/>
      <c r="O119" s="126"/>
      <c r="P119" s="45"/>
      <c r="Q119" s="8"/>
      <c r="R119" s="19"/>
      <c r="S119" s="20"/>
      <c r="T119" s="29"/>
      <c r="U119" s="10">
        <f t="shared" si="7"/>
        <v>107</v>
      </c>
      <c r="V119" s="30" t="e">
        <f t="shared" si="4"/>
        <v>#DIV/0!</v>
      </c>
      <c r="W119" s="14" t="e">
        <f t="shared" si="5"/>
        <v>#DIV/0!</v>
      </c>
      <c r="X119" s="14" t="e">
        <f t="shared" si="6"/>
        <v>#DIV/0!</v>
      </c>
      <c r="Y119" s="48"/>
      <c r="Z119" s="33"/>
    </row>
    <row r="120" spans="1:26" ht="12.75">
      <c r="A120" s="125"/>
      <c r="B120" s="125"/>
      <c r="C120" s="125"/>
      <c r="D120" s="125"/>
      <c r="E120" s="125"/>
      <c r="F120" s="124"/>
      <c r="G120" s="125"/>
      <c r="H120" s="125"/>
      <c r="I120" s="125"/>
      <c r="J120" s="125"/>
      <c r="K120" s="125"/>
      <c r="L120" s="125"/>
      <c r="M120" s="125"/>
      <c r="N120" s="125"/>
      <c r="O120" s="126"/>
      <c r="P120" s="45"/>
      <c r="Q120" s="8"/>
      <c r="R120" s="19"/>
      <c r="S120" s="20"/>
      <c r="T120" s="29"/>
      <c r="U120" s="10">
        <f t="shared" si="7"/>
        <v>108</v>
      </c>
      <c r="V120" s="30" t="e">
        <f t="shared" si="4"/>
        <v>#DIV/0!</v>
      </c>
      <c r="W120" s="14" t="e">
        <f t="shared" si="5"/>
        <v>#DIV/0!</v>
      </c>
      <c r="X120" s="14" t="e">
        <f t="shared" si="6"/>
        <v>#DIV/0!</v>
      </c>
      <c r="Y120" s="48"/>
      <c r="Z120" s="33"/>
    </row>
    <row r="121" spans="1:26" ht="12.75">
      <c r="A121" s="125"/>
      <c r="B121" s="125"/>
      <c r="C121" s="125"/>
      <c r="D121" s="125"/>
      <c r="E121" s="125"/>
      <c r="F121" s="124"/>
      <c r="G121" s="125"/>
      <c r="H121" s="125"/>
      <c r="I121" s="125"/>
      <c r="J121" s="125"/>
      <c r="K121" s="125"/>
      <c r="L121" s="125"/>
      <c r="M121" s="125"/>
      <c r="N121" s="125"/>
      <c r="O121" s="126"/>
      <c r="P121" s="45"/>
      <c r="Q121" s="23"/>
      <c r="R121" s="19"/>
      <c r="S121" s="20"/>
      <c r="T121" s="29"/>
      <c r="U121" s="10">
        <f t="shared" si="7"/>
        <v>109</v>
      </c>
      <c r="V121" s="30" t="e">
        <f t="shared" si="4"/>
        <v>#DIV/0!</v>
      </c>
      <c r="W121" s="14" t="e">
        <f t="shared" si="5"/>
        <v>#DIV/0!</v>
      </c>
      <c r="X121" s="14" t="e">
        <f t="shared" si="6"/>
        <v>#DIV/0!</v>
      </c>
      <c r="Y121" s="48"/>
      <c r="Z121" s="33"/>
    </row>
    <row r="122" spans="1:26" ht="12.75">
      <c r="A122" s="125"/>
      <c r="B122" s="125"/>
      <c r="C122" s="125"/>
      <c r="D122" s="125"/>
      <c r="E122" s="125"/>
      <c r="F122" s="124"/>
      <c r="G122" s="125"/>
      <c r="H122" s="125"/>
      <c r="I122" s="125"/>
      <c r="J122" s="125"/>
      <c r="K122" s="125"/>
      <c r="L122" s="125"/>
      <c r="M122" s="125"/>
      <c r="N122" s="125"/>
      <c r="O122" s="126"/>
      <c r="P122" s="45"/>
      <c r="Q122" s="21"/>
      <c r="R122" s="19"/>
      <c r="S122" s="20"/>
      <c r="T122" s="29"/>
      <c r="U122" s="10">
        <f t="shared" si="7"/>
        <v>110</v>
      </c>
      <c r="V122" s="30" t="e">
        <f t="shared" si="4"/>
        <v>#DIV/0!</v>
      </c>
      <c r="W122" s="14" t="e">
        <f t="shared" si="5"/>
        <v>#DIV/0!</v>
      </c>
      <c r="X122" s="14" t="e">
        <f t="shared" si="6"/>
        <v>#DIV/0!</v>
      </c>
      <c r="Y122" s="48"/>
      <c r="Z122" s="33"/>
    </row>
    <row r="123" spans="1:26" ht="12.75">
      <c r="A123" s="125"/>
      <c r="B123" s="125"/>
      <c r="C123" s="125"/>
      <c r="D123" s="125"/>
      <c r="E123" s="125"/>
      <c r="F123" s="124"/>
      <c r="G123" s="125"/>
      <c r="H123" s="125"/>
      <c r="I123" s="125"/>
      <c r="J123" s="125"/>
      <c r="K123" s="125"/>
      <c r="L123" s="125"/>
      <c r="M123" s="125"/>
      <c r="N123" s="125"/>
      <c r="O123" s="126"/>
      <c r="P123" s="45"/>
      <c r="Q123" s="21"/>
      <c r="R123" s="19"/>
      <c r="S123" s="20"/>
      <c r="T123" s="29"/>
      <c r="U123" s="10">
        <f t="shared" si="7"/>
        <v>111</v>
      </c>
      <c r="V123" s="30" t="e">
        <f t="shared" si="4"/>
        <v>#DIV/0!</v>
      </c>
      <c r="W123" s="14" t="e">
        <f t="shared" si="5"/>
        <v>#DIV/0!</v>
      </c>
      <c r="X123" s="14" t="e">
        <f t="shared" si="6"/>
        <v>#DIV/0!</v>
      </c>
      <c r="Y123" s="48"/>
      <c r="Z123" s="33"/>
    </row>
    <row r="124" spans="1:26" ht="12.75">
      <c r="A124" s="125"/>
      <c r="B124" s="125"/>
      <c r="C124" s="125"/>
      <c r="D124" s="125"/>
      <c r="E124" s="125"/>
      <c r="F124" s="124"/>
      <c r="G124" s="125"/>
      <c r="H124" s="125"/>
      <c r="I124" s="125"/>
      <c r="J124" s="125"/>
      <c r="K124" s="125"/>
      <c r="L124" s="125"/>
      <c r="M124" s="125"/>
      <c r="N124" s="125"/>
      <c r="O124" s="126"/>
      <c r="P124" s="45"/>
      <c r="Q124" s="21"/>
      <c r="R124" s="19"/>
      <c r="S124" s="20"/>
      <c r="T124" s="29"/>
      <c r="U124" s="10">
        <f t="shared" si="7"/>
        <v>112</v>
      </c>
      <c r="V124" s="30" t="e">
        <f t="shared" si="4"/>
        <v>#DIV/0!</v>
      </c>
      <c r="W124" s="14" t="e">
        <f t="shared" si="5"/>
        <v>#DIV/0!</v>
      </c>
      <c r="X124" s="14" t="e">
        <f t="shared" si="6"/>
        <v>#DIV/0!</v>
      </c>
      <c r="Y124" s="48"/>
      <c r="Z124" s="33"/>
    </row>
    <row r="125" spans="1:26" ht="12.75">
      <c r="A125" s="125"/>
      <c r="B125" s="125"/>
      <c r="C125" s="125"/>
      <c r="D125" s="125"/>
      <c r="E125" s="125"/>
      <c r="F125" s="124"/>
      <c r="G125" s="125"/>
      <c r="H125" s="125"/>
      <c r="I125" s="125"/>
      <c r="J125" s="125"/>
      <c r="K125" s="125"/>
      <c r="L125" s="125"/>
      <c r="M125" s="125"/>
      <c r="N125" s="125"/>
      <c r="O125" s="126"/>
      <c r="P125" s="45"/>
      <c r="Q125" s="21"/>
      <c r="R125" s="19"/>
      <c r="S125" s="20"/>
      <c r="T125" s="29"/>
      <c r="U125" s="10">
        <f t="shared" si="7"/>
        <v>113</v>
      </c>
      <c r="V125" s="30" t="e">
        <f t="shared" si="4"/>
        <v>#DIV/0!</v>
      </c>
      <c r="W125" s="14" t="e">
        <f t="shared" si="5"/>
        <v>#DIV/0!</v>
      </c>
      <c r="X125" s="14" t="e">
        <f t="shared" si="6"/>
        <v>#DIV/0!</v>
      </c>
      <c r="Y125" s="48"/>
      <c r="Z125" s="33"/>
    </row>
    <row r="126" spans="1:26" ht="12.75">
      <c r="A126" s="125"/>
      <c r="B126" s="125"/>
      <c r="C126" s="125"/>
      <c r="D126" s="125"/>
      <c r="E126" s="125"/>
      <c r="F126" s="124"/>
      <c r="G126" s="125"/>
      <c r="H126" s="125"/>
      <c r="I126" s="125"/>
      <c r="J126" s="125"/>
      <c r="K126" s="125"/>
      <c r="L126" s="125"/>
      <c r="M126" s="125"/>
      <c r="N126" s="125"/>
      <c r="O126" s="126"/>
      <c r="P126" s="45"/>
      <c r="Q126" s="21"/>
      <c r="R126" s="19"/>
      <c r="S126" s="20"/>
      <c r="T126" s="29"/>
      <c r="U126" s="10">
        <f t="shared" si="7"/>
        <v>114</v>
      </c>
      <c r="V126" s="30" t="e">
        <f t="shared" si="4"/>
        <v>#DIV/0!</v>
      </c>
      <c r="W126" s="14" t="e">
        <f t="shared" si="5"/>
        <v>#DIV/0!</v>
      </c>
      <c r="X126" s="14" t="e">
        <f t="shared" si="6"/>
        <v>#DIV/0!</v>
      </c>
      <c r="Y126" s="48"/>
      <c r="Z126" s="33"/>
    </row>
    <row r="127" spans="1:26" ht="12.75">
      <c r="A127" s="125"/>
      <c r="B127" s="125"/>
      <c r="C127" s="125"/>
      <c r="D127" s="125"/>
      <c r="E127" s="125"/>
      <c r="F127" s="124"/>
      <c r="G127" s="125"/>
      <c r="H127" s="125"/>
      <c r="I127" s="125"/>
      <c r="J127" s="125"/>
      <c r="K127" s="125"/>
      <c r="L127" s="125"/>
      <c r="M127" s="125"/>
      <c r="N127" s="125"/>
      <c r="O127" s="126"/>
      <c r="P127" s="45"/>
      <c r="Q127" s="21"/>
      <c r="R127" s="19"/>
      <c r="S127" s="20"/>
      <c r="T127" s="29"/>
      <c r="U127" s="10">
        <f t="shared" si="7"/>
        <v>115</v>
      </c>
      <c r="V127" s="30" t="e">
        <f t="shared" si="4"/>
        <v>#DIV/0!</v>
      </c>
      <c r="W127" s="14" t="e">
        <f t="shared" si="5"/>
        <v>#DIV/0!</v>
      </c>
      <c r="X127" s="14" t="e">
        <f t="shared" si="6"/>
        <v>#DIV/0!</v>
      </c>
      <c r="Y127" s="48"/>
      <c r="Z127" s="33"/>
    </row>
    <row r="128" spans="1:26" ht="12.75">
      <c r="A128" s="125"/>
      <c r="B128" s="125"/>
      <c r="C128" s="125"/>
      <c r="D128" s="125"/>
      <c r="E128" s="125"/>
      <c r="F128" s="124"/>
      <c r="G128" s="125"/>
      <c r="H128" s="125"/>
      <c r="I128" s="125"/>
      <c r="J128" s="125"/>
      <c r="K128" s="125"/>
      <c r="L128" s="125"/>
      <c r="M128" s="125"/>
      <c r="N128" s="125"/>
      <c r="O128" s="126"/>
      <c r="P128" s="45"/>
      <c r="Q128" s="21"/>
      <c r="R128" s="19"/>
      <c r="S128" s="20"/>
      <c r="T128" s="29"/>
      <c r="U128" s="10">
        <f t="shared" si="7"/>
        <v>116</v>
      </c>
      <c r="V128" s="30" t="e">
        <f t="shared" si="4"/>
        <v>#DIV/0!</v>
      </c>
      <c r="W128" s="14" t="e">
        <f t="shared" si="5"/>
        <v>#DIV/0!</v>
      </c>
      <c r="X128" s="14" t="e">
        <f t="shared" si="6"/>
        <v>#DIV/0!</v>
      </c>
      <c r="Y128" s="48"/>
      <c r="Z128" s="33"/>
    </row>
    <row r="129" spans="1:26" ht="12.75">
      <c r="A129" s="125"/>
      <c r="B129" s="125"/>
      <c r="C129" s="125"/>
      <c r="D129" s="125"/>
      <c r="E129" s="125"/>
      <c r="F129" s="124"/>
      <c r="G129" s="125"/>
      <c r="H129" s="125"/>
      <c r="I129" s="125"/>
      <c r="J129" s="125"/>
      <c r="K129" s="125"/>
      <c r="L129" s="125"/>
      <c r="M129" s="125"/>
      <c r="N129" s="125"/>
      <c r="O129" s="126"/>
      <c r="P129" s="45"/>
      <c r="Q129" s="21"/>
      <c r="R129" s="19"/>
      <c r="S129" s="20"/>
      <c r="T129" s="29"/>
      <c r="U129" s="10">
        <f t="shared" si="7"/>
        <v>117</v>
      </c>
      <c r="V129" s="30" t="e">
        <f t="shared" si="4"/>
        <v>#DIV/0!</v>
      </c>
      <c r="W129" s="14" t="e">
        <f t="shared" si="5"/>
        <v>#DIV/0!</v>
      </c>
      <c r="X129" s="14" t="e">
        <f t="shared" si="6"/>
        <v>#DIV/0!</v>
      </c>
      <c r="Y129" s="48"/>
      <c r="Z129" s="33"/>
    </row>
    <row r="130" spans="1:26" ht="12.75">
      <c r="A130" s="125"/>
      <c r="B130" s="125"/>
      <c r="C130" s="125"/>
      <c r="D130" s="125"/>
      <c r="E130" s="125"/>
      <c r="F130" s="124"/>
      <c r="G130" s="125"/>
      <c r="H130" s="125"/>
      <c r="I130" s="125"/>
      <c r="J130" s="125"/>
      <c r="K130" s="125"/>
      <c r="L130" s="125"/>
      <c r="M130" s="125"/>
      <c r="N130" s="125"/>
      <c r="O130" s="126"/>
      <c r="P130" s="45"/>
      <c r="Q130" s="8"/>
      <c r="R130" s="19"/>
      <c r="S130" s="20"/>
      <c r="T130" s="29"/>
      <c r="U130" s="10">
        <f t="shared" si="7"/>
        <v>118</v>
      </c>
      <c r="V130" s="30" t="e">
        <f t="shared" si="4"/>
        <v>#DIV/0!</v>
      </c>
      <c r="W130" s="14" t="e">
        <f t="shared" si="5"/>
        <v>#DIV/0!</v>
      </c>
      <c r="X130" s="14" t="e">
        <f t="shared" si="6"/>
        <v>#DIV/0!</v>
      </c>
      <c r="Y130" s="48"/>
      <c r="Z130" s="33"/>
    </row>
    <row r="131" spans="1:26" ht="12.75">
      <c r="A131" s="125"/>
      <c r="B131" s="125"/>
      <c r="C131" s="125"/>
      <c r="D131" s="125"/>
      <c r="E131" s="125"/>
      <c r="F131" s="124"/>
      <c r="G131" s="125"/>
      <c r="H131" s="125"/>
      <c r="I131" s="125"/>
      <c r="J131" s="125"/>
      <c r="K131" s="125"/>
      <c r="L131" s="125"/>
      <c r="M131" s="125"/>
      <c r="N131" s="125"/>
      <c r="O131" s="126"/>
      <c r="P131" s="45"/>
      <c r="Q131" s="8"/>
      <c r="R131" s="19"/>
      <c r="S131" s="20"/>
      <c r="T131" s="29"/>
      <c r="U131" s="10">
        <f t="shared" si="7"/>
        <v>119</v>
      </c>
      <c r="V131" s="30" t="e">
        <f t="shared" si="4"/>
        <v>#DIV/0!</v>
      </c>
      <c r="W131" s="14" t="e">
        <f t="shared" si="5"/>
        <v>#DIV/0!</v>
      </c>
      <c r="X131" s="14" t="e">
        <f t="shared" si="6"/>
        <v>#DIV/0!</v>
      </c>
      <c r="Y131" s="48"/>
      <c r="Z131" s="33"/>
    </row>
    <row r="132" spans="1:26" ht="12.75">
      <c r="A132" s="125"/>
      <c r="B132" s="125"/>
      <c r="C132" s="125"/>
      <c r="D132" s="125"/>
      <c r="E132" s="125"/>
      <c r="F132" s="124"/>
      <c r="G132" s="125"/>
      <c r="H132" s="125"/>
      <c r="I132" s="125"/>
      <c r="J132" s="125"/>
      <c r="K132" s="125"/>
      <c r="L132" s="125"/>
      <c r="M132" s="125"/>
      <c r="N132" s="125"/>
      <c r="O132" s="126"/>
      <c r="P132" s="45"/>
      <c r="Q132" s="8"/>
      <c r="R132" s="19"/>
      <c r="S132" s="20"/>
      <c r="T132" s="29"/>
      <c r="U132" s="10">
        <f t="shared" si="7"/>
        <v>120</v>
      </c>
      <c r="V132" s="30" t="e">
        <f t="shared" si="4"/>
        <v>#DIV/0!</v>
      </c>
      <c r="W132" s="14" t="e">
        <f t="shared" si="5"/>
        <v>#DIV/0!</v>
      </c>
      <c r="X132" s="14" t="e">
        <f t="shared" si="6"/>
        <v>#DIV/0!</v>
      </c>
      <c r="Y132" s="48"/>
      <c r="Z132" s="33"/>
    </row>
    <row r="133" spans="1:26" ht="12.75">
      <c r="A133" s="125"/>
      <c r="B133" s="125"/>
      <c r="C133" s="125"/>
      <c r="D133" s="125"/>
      <c r="E133" s="125"/>
      <c r="F133" s="124"/>
      <c r="G133" s="125"/>
      <c r="H133" s="125"/>
      <c r="I133" s="125"/>
      <c r="J133" s="125"/>
      <c r="K133" s="125"/>
      <c r="L133" s="125"/>
      <c r="M133" s="125"/>
      <c r="N133" s="125"/>
      <c r="O133" s="126"/>
      <c r="P133" s="45"/>
      <c r="Q133" s="8"/>
      <c r="R133" s="19"/>
      <c r="S133" s="20"/>
      <c r="T133" s="29"/>
      <c r="U133" s="10">
        <f t="shared" si="7"/>
        <v>121</v>
      </c>
      <c r="V133" s="30" t="e">
        <f t="shared" si="4"/>
        <v>#DIV/0!</v>
      </c>
      <c r="W133" s="14" t="e">
        <f t="shared" si="5"/>
        <v>#DIV/0!</v>
      </c>
      <c r="X133" s="14" t="e">
        <f t="shared" si="6"/>
        <v>#DIV/0!</v>
      </c>
      <c r="Y133" s="48"/>
      <c r="Z133" s="33"/>
    </row>
    <row r="134" spans="1:26" ht="12.75">
      <c r="A134" s="125"/>
      <c r="B134" s="125"/>
      <c r="C134" s="125"/>
      <c r="D134" s="125"/>
      <c r="E134" s="125"/>
      <c r="F134" s="124"/>
      <c r="G134" s="125"/>
      <c r="H134" s="125"/>
      <c r="I134" s="125"/>
      <c r="J134" s="125"/>
      <c r="K134" s="125"/>
      <c r="L134" s="125"/>
      <c r="M134" s="125"/>
      <c r="N134" s="125"/>
      <c r="O134" s="126"/>
      <c r="P134" s="45"/>
      <c r="Q134" s="8"/>
      <c r="R134" s="19"/>
      <c r="S134" s="20"/>
      <c r="T134" s="29"/>
      <c r="U134" s="10">
        <f t="shared" si="7"/>
        <v>122</v>
      </c>
      <c r="V134" s="30" t="e">
        <f t="shared" si="4"/>
        <v>#DIV/0!</v>
      </c>
      <c r="W134" s="14" t="e">
        <f t="shared" si="5"/>
        <v>#DIV/0!</v>
      </c>
      <c r="X134" s="14" t="e">
        <f t="shared" si="6"/>
        <v>#DIV/0!</v>
      </c>
      <c r="Y134" s="48"/>
      <c r="Z134" s="33"/>
    </row>
    <row r="135" spans="1:26" ht="12.75">
      <c r="A135" s="125"/>
      <c r="B135" s="125"/>
      <c r="C135" s="125"/>
      <c r="D135" s="125"/>
      <c r="E135" s="125"/>
      <c r="F135" s="124"/>
      <c r="G135" s="125"/>
      <c r="H135" s="125"/>
      <c r="I135" s="125"/>
      <c r="J135" s="125"/>
      <c r="K135" s="125"/>
      <c r="L135" s="125"/>
      <c r="M135" s="125"/>
      <c r="N135" s="125"/>
      <c r="O135" s="126"/>
      <c r="P135" s="45"/>
      <c r="Q135" s="8"/>
      <c r="R135" s="19"/>
      <c r="S135" s="20"/>
      <c r="T135" s="29"/>
      <c r="U135" s="10">
        <f t="shared" si="7"/>
        <v>123</v>
      </c>
      <c r="V135" s="30" t="e">
        <f t="shared" si="4"/>
        <v>#DIV/0!</v>
      </c>
      <c r="W135" s="14" t="e">
        <f t="shared" si="5"/>
        <v>#DIV/0!</v>
      </c>
      <c r="X135" s="14" t="e">
        <f t="shared" si="6"/>
        <v>#DIV/0!</v>
      </c>
      <c r="Y135" s="48"/>
      <c r="Z135" s="33"/>
    </row>
    <row r="136" spans="1:26" ht="12.75">
      <c r="A136" s="125"/>
      <c r="B136" s="125"/>
      <c r="C136" s="125"/>
      <c r="D136" s="125"/>
      <c r="E136" s="125"/>
      <c r="F136" s="124"/>
      <c r="G136" s="125"/>
      <c r="H136" s="125"/>
      <c r="I136" s="125"/>
      <c r="J136" s="125"/>
      <c r="K136" s="125"/>
      <c r="L136" s="125"/>
      <c r="M136" s="125"/>
      <c r="N136" s="125"/>
      <c r="O136" s="126"/>
      <c r="P136" s="45"/>
      <c r="Q136" s="8"/>
      <c r="R136" s="19"/>
      <c r="S136" s="20"/>
      <c r="T136" s="29"/>
      <c r="U136" s="10">
        <f t="shared" si="7"/>
        <v>124</v>
      </c>
      <c r="V136" s="30" t="e">
        <f t="shared" si="4"/>
        <v>#DIV/0!</v>
      </c>
      <c r="W136" s="14" t="e">
        <f t="shared" si="5"/>
        <v>#DIV/0!</v>
      </c>
      <c r="X136" s="14" t="e">
        <f t="shared" si="6"/>
        <v>#DIV/0!</v>
      </c>
      <c r="Y136" s="48"/>
      <c r="Z136" s="33"/>
    </row>
    <row r="137" spans="1:26" ht="12.75">
      <c r="A137" s="125"/>
      <c r="B137" s="125"/>
      <c r="C137" s="125"/>
      <c r="D137" s="125"/>
      <c r="E137" s="125"/>
      <c r="F137" s="124"/>
      <c r="G137" s="125"/>
      <c r="H137" s="125"/>
      <c r="I137" s="125"/>
      <c r="J137" s="125"/>
      <c r="K137" s="125"/>
      <c r="L137" s="125"/>
      <c r="M137" s="125"/>
      <c r="N137" s="125"/>
      <c r="O137" s="126"/>
      <c r="P137" s="45"/>
      <c r="Q137" s="8"/>
      <c r="R137" s="19"/>
      <c r="S137" s="20"/>
      <c r="T137" s="29"/>
      <c r="U137" s="10">
        <f t="shared" si="7"/>
        <v>125</v>
      </c>
      <c r="V137" s="30" t="e">
        <f t="shared" si="4"/>
        <v>#DIV/0!</v>
      </c>
      <c r="W137" s="14" t="e">
        <f t="shared" si="5"/>
        <v>#DIV/0!</v>
      </c>
      <c r="X137" s="14" t="e">
        <f t="shared" si="6"/>
        <v>#DIV/0!</v>
      </c>
      <c r="Y137" s="48"/>
      <c r="Z137" s="33"/>
    </row>
    <row r="138" spans="1:26" ht="12.75">
      <c r="A138" s="125"/>
      <c r="B138" s="125"/>
      <c r="C138" s="125"/>
      <c r="D138" s="125"/>
      <c r="E138" s="125"/>
      <c r="F138" s="124"/>
      <c r="G138" s="125"/>
      <c r="H138" s="125"/>
      <c r="I138" s="125"/>
      <c r="J138" s="125"/>
      <c r="K138" s="125"/>
      <c r="L138" s="125"/>
      <c r="M138" s="125"/>
      <c r="N138" s="125"/>
      <c r="O138" s="126"/>
      <c r="P138" s="45"/>
      <c r="Q138" s="8"/>
      <c r="R138" s="19"/>
      <c r="S138" s="20"/>
      <c r="T138" s="29"/>
      <c r="U138" s="10">
        <f t="shared" si="7"/>
        <v>126</v>
      </c>
      <c r="V138" s="30" t="e">
        <f t="shared" si="4"/>
        <v>#DIV/0!</v>
      </c>
      <c r="W138" s="14" t="e">
        <f t="shared" si="5"/>
        <v>#DIV/0!</v>
      </c>
      <c r="X138" s="14" t="e">
        <f t="shared" si="6"/>
        <v>#DIV/0!</v>
      </c>
      <c r="Y138" s="48"/>
      <c r="Z138" s="33"/>
    </row>
    <row r="139" spans="1:26" ht="12.75">
      <c r="A139" s="125"/>
      <c r="B139" s="125"/>
      <c r="C139" s="125"/>
      <c r="D139" s="125"/>
      <c r="E139" s="125"/>
      <c r="F139" s="124"/>
      <c r="G139" s="125"/>
      <c r="H139" s="125"/>
      <c r="I139" s="125"/>
      <c r="J139" s="125"/>
      <c r="K139" s="125"/>
      <c r="L139" s="125"/>
      <c r="M139" s="125"/>
      <c r="N139" s="125"/>
      <c r="O139" s="126"/>
      <c r="P139" s="45"/>
      <c r="Q139" s="8"/>
      <c r="R139" s="19"/>
      <c r="S139" s="20"/>
      <c r="T139" s="29"/>
      <c r="U139" s="10">
        <f t="shared" si="7"/>
        <v>127</v>
      </c>
      <c r="V139" s="30" t="e">
        <f t="shared" si="4"/>
        <v>#DIV/0!</v>
      </c>
      <c r="W139" s="14" t="e">
        <f t="shared" si="5"/>
        <v>#DIV/0!</v>
      </c>
      <c r="X139" s="14" t="e">
        <f t="shared" si="6"/>
        <v>#DIV/0!</v>
      </c>
      <c r="Y139" s="48"/>
      <c r="Z139" s="33"/>
    </row>
    <row r="140" spans="1:26" ht="12.75">
      <c r="A140" s="125"/>
      <c r="B140" s="125"/>
      <c r="C140" s="125"/>
      <c r="D140" s="125"/>
      <c r="E140" s="125"/>
      <c r="F140" s="124"/>
      <c r="G140" s="125"/>
      <c r="H140" s="125"/>
      <c r="I140" s="125"/>
      <c r="J140" s="125"/>
      <c r="K140" s="125"/>
      <c r="L140" s="125"/>
      <c r="M140" s="125"/>
      <c r="N140" s="125"/>
      <c r="O140" s="126"/>
      <c r="P140" s="45"/>
      <c r="Q140" s="8"/>
      <c r="R140" s="19"/>
      <c r="S140" s="20"/>
      <c r="T140" s="29"/>
      <c r="U140" s="10">
        <f t="shared" si="7"/>
        <v>128</v>
      </c>
      <c r="V140" s="30" t="e">
        <f aca="true" t="shared" si="8" ref="V140:V203">SQRT((W140-SLU_Half_Luff_a_x)^2+(X140-SLU_Half_Luff_a_y)^2)</f>
        <v>#DIV/0!</v>
      </c>
      <c r="W140" s="14" t="e">
        <f t="shared" si="5"/>
        <v>#DIV/0!</v>
      </c>
      <c r="X140" s="14" t="e">
        <f t="shared" si="6"/>
        <v>#DIV/0!</v>
      </c>
      <c r="Y140" s="48"/>
      <c r="Z140" s="33"/>
    </row>
    <row r="141" spans="1:26" ht="12.75">
      <c r="A141" s="125"/>
      <c r="B141" s="125"/>
      <c r="C141" s="125"/>
      <c r="D141" s="125"/>
      <c r="E141" s="125"/>
      <c r="F141" s="124"/>
      <c r="G141" s="125"/>
      <c r="H141" s="125"/>
      <c r="I141" s="125"/>
      <c r="J141" s="125"/>
      <c r="K141" s="125"/>
      <c r="L141" s="125"/>
      <c r="M141" s="125"/>
      <c r="N141" s="125"/>
      <c r="O141" s="126"/>
      <c r="P141" s="45"/>
      <c r="Q141" s="8"/>
      <c r="R141" s="19"/>
      <c r="S141" s="20"/>
      <c r="T141" s="29"/>
      <c r="U141" s="10">
        <f t="shared" si="7"/>
        <v>129</v>
      </c>
      <c r="V141" s="30" t="e">
        <f t="shared" si="8"/>
        <v>#DIV/0!</v>
      </c>
      <c r="W141" s="14" t="e">
        <f aca="true" t="shared" si="9" ref="W141:W204">Start_for_int_x+U141*Step_Inc*COS(SLE_Mid_Luff_Angle_r)</f>
        <v>#DIV/0!</v>
      </c>
      <c r="X141" s="14" t="e">
        <f aca="true" t="shared" si="10" ref="X141:X204">Start_for_int_y+U141*Step_Inc*SIN(SLE_Mid_Luff_Angle_r)</f>
        <v>#DIV/0!</v>
      </c>
      <c r="Y141" s="48"/>
      <c r="Z141" s="33"/>
    </row>
    <row r="142" spans="1:26" ht="12.75">
      <c r="A142" s="125"/>
      <c r="B142" s="125"/>
      <c r="C142" s="125"/>
      <c r="D142" s="125"/>
      <c r="E142" s="125"/>
      <c r="F142" s="124"/>
      <c r="G142" s="125"/>
      <c r="H142" s="125"/>
      <c r="I142" s="125"/>
      <c r="J142" s="125"/>
      <c r="K142" s="125"/>
      <c r="L142" s="125"/>
      <c r="M142" s="125"/>
      <c r="N142" s="125"/>
      <c r="O142" s="126"/>
      <c r="P142" s="45"/>
      <c r="Q142" s="8"/>
      <c r="R142" s="19"/>
      <c r="S142" s="20"/>
      <c r="T142" s="29"/>
      <c r="U142" s="10">
        <f aca="true" t="shared" si="11" ref="U142:U205">U141+1</f>
        <v>130</v>
      </c>
      <c r="V142" s="30" t="e">
        <f t="shared" si="8"/>
        <v>#DIV/0!</v>
      </c>
      <c r="W142" s="14" t="e">
        <f t="shared" si="9"/>
        <v>#DIV/0!</v>
      </c>
      <c r="X142" s="14" t="e">
        <f t="shared" si="10"/>
        <v>#DIV/0!</v>
      </c>
      <c r="Y142" s="48"/>
      <c r="Z142" s="33"/>
    </row>
    <row r="143" spans="1:26" ht="12.75">
      <c r="A143" s="125"/>
      <c r="B143" s="125"/>
      <c r="C143" s="125"/>
      <c r="D143" s="125"/>
      <c r="E143" s="125"/>
      <c r="F143" s="124"/>
      <c r="G143" s="125"/>
      <c r="H143" s="125"/>
      <c r="I143" s="125"/>
      <c r="J143" s="125"/>
      <c r="K143" s="125"/>
      <c r="L143" s="125"/>
      <c r="M143" s="125"/>
      <c r="N143" s="125"/>
      <c r="O143" s="126"/>
      <c r="P143" s="45"/>
      <c r="Q143" s="8"/>
      <c r="R143" s="19"/>
      <c r="S143" s="20"/>
      <c r="T143" s="29"/>
      <c r="U143" s="10">
        <f t="shared" si="11"/>
        <v>131</v>
      </c>
      <c r="V143" s="30" t="e">
        <f t="shared" si="8"/>
        <v>#DIV/0!</v>
      </c>
      <c r="W143" s="14" t="e">
        <f t="shared" si="9"/>
        <v>#DIV/0!</v>
      </c>
      <c r="X143" s="14" t="e">
        <f t="shared" si="10"/>
        <v>#DIV/0!</v>
      </c>
      <c r="Y143" s="48"/>
      <c r="Z143" s="33"/>
    </row>
    <row r="144" spans="1:26" ht="12.75">
      <c r="A144" s="125"/>
      <c r="B144" s="125"/>
      <c r="C144" s="125"/>
      <c r="D144" s="125"/>
      <c r="E144" s="125"/>
      <c r="F144" s="124"/>
      <c r="G144" s="125"/>
      <c r="H144" s="125"/>
      <c r="I144" s="125"/>
      <c r="J144" s="125"/>
      <c r="K144" s="125"/>
      <c r="L144" s="125"/>
      <c r="M144" s="125"/>
      <c r="N144" s="125"/>
      <c r="O144" s="126"/>
      <c r="P144" s="45"/>
      <c r="Q144" s="8"/>
      <c r="R144" s="19"/>
      <c r="S144" s="20"/>
      <c r="T144" s="29"/>
      <c r="U144" s="10">
        <f t="shared" si="11"/>
        <v>132</v>
      </c>
      <c r="V144" s="30" t="e">
        <f t="shared" si="8"/>
        <v>#DIV/0!</v>
      </c>
      <c r="W144" s="14" t="e">
        <f t="shared" si="9"/>
        <v>#DIV/0!</v>
      </c>
      <c r="X144" s="14" t="e">
        <f t="shared" si="10"/>
        <v>#DIV/0!</v>
      </c>
      <c r="Y144" s="48"/>
      <c r="Z144" s="33"/>
    </row>
    <row r="145" spans="1:26" ht="12.75">
      <c r="A145" s="125"/>
      <c r="B145" s="125"/>
      <c r="C145" s="125"/>
      <c r="D145" s="125"/>
      <c r="E145" s="125"/>
      <c r="F145" s="124"/>
      <c r="G145" s="125"/>
      <c r="H145" s="125"/>
      <c r="I145" s="125"/>
      <c r="J145" s="125"/>
      <c r="K145" s="125"/>
      <c r="L145" s="125"/>
      <c r="M145" s="125"/>
      <c r="N145" s="125"/>
      <c r="O145" s="126"/>
      <c r="P145" s="45"/>
      <c r="Q145" s="8"/>
      <c r="R145" s="19"/>
      <c r="S145" s="20"/>
      <c r="T145" s="29"/>
      <c r="U145" s="10">
        <f t="shared" si="11"/>
        <v>133</v>
      </c>
      <c r="V145" s="30" t="e">
        <f t="shared" si="8"/>
        <v>#DIV/0!</v>
      </c>
      <c r="W145" s="14" t="e">
        <f t="shared" si="9"/>
        <v>#DIV/0!</v>
      </c>
      <c r="X145" s="14" t="e">
        <f t="shared" si="10"/>
        <v>#DIV/0!</v>
      </c>
      <c r="Y145" s="48"/>
      <c r="Z145" s="33"/>
    </row>
    <row r="146" spans="1:26" ht="12.7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4"/>
      <c r="P146" s="45"/>
      <c r="Q146" s="8"/>
      <c r="R146" s="19"/>
      <c r="S146" s="20"/>
      <c r="T146" s="29"/>
      <c r="U146" s="10">
        <f t="shared" si="11"/>
        <v>134</v>
      </c>
      <c r="V146" s="30" t="e">
        <f t="shared" si="8"/>
        <v>#DIV/0!</v>
      </c>
      <c r="W146" s="14" t="e">
        <f t="shared" si="9"/>
        <v>#DIV/0!</v>
      </c>
      <c r="X146" s="14" t="e">
        <f t="shared" si="10"/>
        <v>#DIV/0!</v>
      </c>
      <c r="Y146" s="48"/>
      <c r="Z146" s="33"/>
    </row>
    <row r="147" spans="1:26" ht="12.7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4"/>
      <c r="P147" s="45"/>
      <c r="Q147" s="8"/>
      <c r="R147" s="19"/>
      <c r="S147" s="20"/>
      <c r="T147" s="29"/>
      <c r="U147" s="10">
        <f t="shared" si="11"/>
        <v>135</v>
      </c>
      <c r="V147" s="30" t="e">
        <f t="shared" si="8"/>
        <v>#DIV/0!</v>
      </c>
      <c r="W147" s="14" t="e">
        <f t="shared" si="9"/>
        <v>#DIV/0!</v>
      </c>
      <c r="X147" s="14" t="e">
        <f t="shared" si="10"/>
        <v>#DIV/0!</v>
      </c>
      <c r="Y147" s="48"/>
      <c r="Z147" s="33"/>
    </row>
    <row r="148" spans="1:26" ht="12.7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4"/>
      <c r="P148" s="45"/>
      <c r="Q148" s="8"/>
      <c r="R148" s="19"/>
      <c r="S148" s="20"/>
      <c r="T148" s="29"/>
      <c r="U148" s="10">
        <f t="shared" si="11"/>
        <v>136</v>
      </c>
      <c r="V148" s="30" t="e">
        <f t="shared" si="8"/>
        <v>#DIV/0!</v>
      </c>
      <c r="W148" s="14" t="e">
        <f t="shared" si="9"/>
        <v>#DIV/0!</v>
      </c>
      <c r="X148" s="14" t="e">
        <f t="shared" si="10"/>
        <v>#DIV/0!</v>
      </c>
      <c r="Y148" s="48"/>
      <c r="Z148" s="33"/>
    </row>
    <row r="149" spans="1:26" ht="12.7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4"/>
      <c r="P149" s="45"/>
      <c r="Q149" s="8"/>
      <c r="R149" s="19"/>
      <c r="S149" s="20"/>
      <c r="T149" s="29"/>
      <c r="U149" s="10">
        <f t="shared" si="11"/>
        <v>137</v>
      </c>
      <c r="V149" s="30" t="e">
        <f t="shared" si="8"/>
        <v>#DIV/0!</v>
      </c>
      <c r="W149" s="14" t="e">
        <f t="shared" si="9"/>
        <v>#DIV/0!</v>
      </c>
      <c r="X149" s="14" t="e">
        <f t="shared" si="10"/>
        <v>#DIV/0!</v>
      </c>
      <c r="Y149" s="48"/>
      <c r="Z149" s="33"/>
    </row>
    <row r="150" spans="1:26" ht="12.7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4"/>
      <c r="P150" s="45"/>
      <c r="Q150" s="8"/>
      <c r="R150" s="19"/>
      <c r="S150" s="20"/>
      <c r="T150" s="29"/>
      <c r="U150" s="10">
        <f t="shared" si="11"/>
        <v>138</v>
      </c>
      <c r="V150" s="30" t="e">
        <f t="shared" si="8"/>
        <v>#DIV/0!</v>
      </c>
      <c r="W150" s="14" t="e">
        <f t="shared" si="9"/>
        <v>#DIV/0!</v>
      </c>
      <c r="X150" s="14" t="e">
        <f t="shared" si="10"/>
        <v>#DIV/0!</v>
      </c>
      <c r="Y150" s="48"/>
      <c r="Z150" s="33"/>
    </row>
    <row r="151" spans="1:26" ht="12.7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4"/>
      <c r="P151" s="45"/>
      <c r="Q151" s="8"/>
      <c r="R151" s="19"/>
      <c r="S151" s="20"/>
      <c r="T151" s="29"/>
      <c r="U151" s="10">
        <f t="shared" si="11"/>
        <v>139</v>
      </c>
      <c r="V151" s="30" t="e">
        <f t="shared" si="8"/>
        <v>#DIV/0!</v>
      </c>
      <c r="W151" s="14" t="e">
        <f t="shared" si="9"/>
        <v>#DIV/0!</v>
      </c>
      <c r="X151" s="14" t="e">
        <f t="shared" si="10"/>
        <v>#DIV/0!</v>
      </c>
      <c r="Y151" s="48"/>
      <c r="Z151" s="33"/>
    </row>
    <row r="152" spans="1:26" ht="12.7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4"/>
      <c r="P152" s="45"/>
      <c r="Q152" s="8"/>
      <c r="R152" s="19"/>
      <c r="S152" s="20"/>
      <c r="T152" s="29"/>
      <c r="U152" s="10">
        <f t="shared" si="11"/>
        <v>140</v>
      </c>
      <c r="V152" s="30" t="e">
        <f t="shared" si="8"/>
        <v>#DIV/0!</v>
      </c>
      <c r="W152" s="14" t="e">
        <f t="shared" si="9"/>
        <v>#DIV/0!</v>
      </c>
      <c r="X152" s="14" t="e">
        <f t="shared" si="10"/>
        <v>#DIV/0!</v>
      </c>
      <c r="Y152" s="48"/>
      <c r="Z152" s="33"/>
    </row>
    <row r="153" spans="1:26" ht="12.7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4"/>
      <c r="P153" s="45"/>
      <c r="Q153" s="8"/>
      <c r="R153" s="19"/>
      <c r="S153" s="20"/>
      <c r="T153" s="29"/>
      <c r="U153" s="10">
        <f t="shared" si="11"/>
        <v>141</v>
      </c>
      <c r="V153" s="30" t="e">
        <f t="shared" si="8"/>
        <v>#DIV/0!</v>
      </c>
      <c r="W153" s="14" t="e">
        <f t="shared" si="9"/>
        <v>#DIV/0!</v>
      </c>
      <c r="X153" s="14" t="e">
        <f t="shared" si="10"/>
        <v>#DIV/0!</v>
      </c>
      <c r="Y153" s="48"/>
      <c r="Z153" s="33"/>
    </row>
    <row r="154" spans="1:26" ht="12.7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4"/>
      <c r="P154" s="45"/>
      <c r="Q154" s="8"/>
      <c r="R154" s="19"/>
      <c r="S154" s="20"/>
      <c r="T154" s="29"/>
      <c r="U154" s="10">
        <f t="shared" si="11"/>
        <v>142</v>
      </c>
      <c r="V154" s="30" t="e">
        <f t="shared" si="8"/>
        <v>#DIV/0!</v>
      </c>
      <c r="W154" s="14" t="e">
        <f t="shared" si="9"/>
        <v>#DIV/0!</v>
      </c>
      <c r="X154" s="14" t="e">
        <f t="shared" si="10"/>
        <v>#DIV/0!</v>
      </c>
      <c r="Y154" s="48"/>
      <c r="Z154" s="33"/>
    </row>
    <row r="155" spans="1:26" ht="12.7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4"/>
      <c r="P155" s="45"/>
      <c r="Q155" s="8"/>
      <c r="R155" s="19"/>
      <c r="S155" s="20"/>
      <c r="T155" s="29"/>
      <c r="U155" s="10">
        <f t="shared" si="11"/>
        <v>143</v>
      </c>
      <c r="V155" s="30" t="e">
        <f t="shared" si="8"/>
        <v>#DIV/0!</v>
      </c>
      <c r="W155" s="14" t="e">
        <f t="shared" si="9"/>
        <v>#DIV/0!</v>
      </c>
      <c r="X155" s="14" t="e">
        <f t="shared" si="10"/>
        <v>#DIV/0!</v>
      </c>
      <c r="Y155" s="48"/>
      <c r="Z155" s="33"/>
    </row>
    <row r="156" spans="1:26" ht="12.7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4"/>
      <c r="P156" s="45"/>
      <c r="Q156" s="8"/>
      <c r="R156" s="19"/>
      <c r="S156" s="20"/>
      <c r="T156" s="29"/>
      <c r="U156" s="10">
        <f t="shared" si="11"/>
        <v>144</v>
      </c>
      <c r="V156" s="30" t="e">
        <f t="shared" si="8"/>
        <v>#DIV/0!</v>
      </c>
      <c r="W156" s="14" t="e">
        <f t="shared" si="9"/>
        <v>#DIV/0!</v>
      </c>
      <c r="X156" s="14" t="e">
        <f t="shared" si="10"/>
        <v>#DIV/0!</v>
      </c>
      <c r="Y156" s="48"/>
      <c r="Z156" s="33"/>
    </row>
    <row r="157" spans="1:26" ht="12.7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4"/>
      <c r="P157" s="45"/>
      <c r="Q157" s="8"/>
      <c r="R157" s="19"/>
      <c r="S157" s="20"/>
      <c r="T157" s="29"/>
      <c r="U157" s="10">
        <f t="shared" si="11"/>
        <v>145</v>
      </c>
      <c r="V157" s="30" t="e">
        <f t="shared" si="8"/>
        <v>#DIV/0!</v>
      </c>
      <c r="W157" s="14" t="e">
        <f t="shared" si="9"/>
        <v>#DIV/0!</v>
      </c>
      <c r="X157" s="14" t="e">
        <f t="shared" si="10"/>
        <v>#DIV/0!</v>
      </c>
      <c r="Y157" s="48"/>
      <c r="Z157" s="33"/>
    </row>
    <row r="158" spans="1:26" ht="12.7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4"/>
      <c r="P158" s="45"/>
      <c r="Q158" s="8"/>
      <c r="R158" s="19"/>
      <c r="S158" s="20"/>
      <c r="T158" s="29"/>
      <c r="U158" s="10">
        <f t="shared" si="11"/>
        <v>146</v>
      </c>
      <c r="V158" s="30" t="e">
        <f t="shared" si="8"/>
        <v>#DIV/0!</v>
      </c>
      <c r="W158" s="14" t="e">
        <f t="shared" si="9"/>
        <v>#DIV/0!</v>
      </c>
      <c r="X158" s="14" t="e">
        <f t="shared" si="10"/>
        <v>#DIV/0!</v>
      </c>
      <c r="Y158" s="48"/>
      <c r="Z158" s="33"/>
    </row>
    <row r="159" spans="1:26" ht="12.7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4"/>
      <c r="P159" s="45"/>
      <c r="Q159" s="8"/>
      <c r="R159" s="19"/>
      <c r="S159" s="20"/>
      <c r="T159" s="29"/>
      <c r="U159" s="10">
        <f t="shared" si="11"/>
        <v>147</v>
      </c>
      <c r="V159" s="30" t="e">
        <f t="shared" si="8"/>
        <v>#DIV/0!</v>
      </c>
      <c r="W159" s="14" t="e">
        <f t="shared" si="9"/>
        <v>#DIV/0!</v>
      </c>
      <c r="X159" s="14" t="e">
        <f t="shared" si="10"/>
        <v>#DIV/0!</v>
      </c>
      <c r="Y159" s="48"/>
      <c r="Z159" s="33"/>
    </row>
    <row r="160" spans="1:26" ht="12.7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4"/>
      <c r="P160" s="45"/>
      <c r="Q160" s="8"/>
      <c r="R160" s="19"/>
      <c r="S160" s="20"/>
      <c r="T160" s="29"/>
      <c r="U160" s="10">
        <f t="shared" si="11"/>
        <v>148</v>
      </c>
      <c r="V160" s="30" t="e">
        <f t="shared" si="8"/>
        <v>#DIV/0!</v>
      </c>
      <c r="W160" s="14" t="e">
        <f t="shared" si="9"/>
        <v>#DIV/0!</v>
      </c>
      <c r="X160" s="14" t="e">
        <f t="shared" si="10"/>
        <v>#DIV/0!</v>
      </c>
      <c r="Y160" s="48"/>
      <c r="Z160" s="33"/>
    </row>
    <row r="161" spans="1:26" ht="12.7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4"/>
      <c r="P161" s="45"/>
      <c r="Q161" s="8"/>
      <c r="R161" s="19"/>
      <c r="S161" s="20"/>
      <c r="T161" s="29"/>
      <c r="U161" s="10">
        <f t="shared" si="11"/>
        <v>149</v>
      </c>
      <c r="V161" s="30" t="e">
        <f t="shared" si="8"/>
        <v>#DIV/0!</v>
      </c>
      <c r="W161" s="14" t="e">
        <f t="shared" si="9"/>
        <v>#DIV/0!</v>
      </c>
      <c r="X161" s="14" t="e">
        <f t="shared" si="10"/>
        <v>#DIV/0!</v>
      </c>
      <c r="Y161" s="48"/>
      <c r="Z161" s="33"/>
    </row>
    <row r="162" spans="1:26" ht="12.7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4"/>
      <c r="P162" s="45"/>
      <c r="Q162" s="8"/>
      <c r="R162" s="19"/>
      <c r="S162" s="20"/>
      <c r="T162" s="29"/>
      <c r="U162" s="10">
        <f t="shared" si="11"/>
        <v>150</v>
      </c>
      <c r="V162" s="30" t="e">
        <f t="shared" si="8"/>
        <v>#DIV/0!</v>
      </c>
      <c r="W162" s="14" t="e">
        <f t="shared" si="9"/>
        <v>#DIV/0!</v>
      </c>
      <c r="X162" s="14" t="e">
        <f t="shared" si="10"/>
        <v>#DIV/0!</v>
      </c>
      <c r="Y162" s="48"/>
      <c r="Z162" s="33"/>
    </row>
    <row r="163" spans="1:26" ht="12.7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4"/>
      <c r="P163" s="45"/>
      <c r="Q163" s="8"/>
      <c r="R163" s="19"/>
      <c r="S163" s="20"/>
      <c r="T163" s="29"/>
      <c r="U163" s="10">
        <f t="shared" si="11"/>
        <v>151</v>
      </c>
      <c r="V163" s="30" t="e">
        <f t="shared" si="8"/>
        <v>#DIV/0!</v>
      </c>
      <c r="W163" s="14" t="e">
        <f t="shared" si="9"/>
        <v>#DIV/0!</v>
      </c>
      <c r="X163" s="14" t="e">
        <f t="shared" si="10"/>
        <v>#DIV/0!</v>
      </c>
      <c r="Y163" s="48"/>
      <c r="Z163" s="33"/>
    </row>
    <row r="164" spans="1:26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4"/>
      <c r="P164" s="45"/>
      <c r="Q164" s="8"/>
      <c r="R164" s="19"/>
      <c r="S164" s="20"/>
      <c r="T164" s="29"/>
      <c r="U164" s="10">
        <f t="shared" si="11"/>
        <v>152</v>
      </c>
      <c r="V164" s="30" t="e">
        <f t="shared" si="8"/>
        <v>#DIV/0!</v>
      </c>
      <c r="W164" s="14" t="e">
        <f t="shared" si="9"/>
        <v>#DIV/0!</v>
      </c>
      <c r="X164" s="14" t="e">
        <f t="shared" si="10"/>
        <v>#DIV/0!</v>
      </c>
      <c r="Y164" s="48"/>
      <c r="Z164" s="33"/>
    </row>
    <row r="165" spans="1:26" ht="12.7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4"/>
      <c r="P165" s="45"/>
      <c r="Q165" s="8"/>
      <c r="R165" s="19"/>
      <c r="S165" s="20"/>
      <c r="T165" s="29"/>
      <c r="U165" s="10">
        <f t="shared" si="11"/>
        <v>153</v>
      </c>
      <c r="V165" s="30" t="e">
        <f t="shared" si="8"/>
        <v>#DIV/0!</v>
      </c>
      <c r="W165" s="14" t="e">
        <f t="shared" si="9"/>
        <v>#DIV/0!</v>
      </c>
      <c r="X165" s="14" t="e">
        <f t="shared" si="10"/>
        <v>#DIV/0!</v>
      </c>
      <c r="Y165" s="48"/>
      <c r="Z165" s="33"/>
    </row>
    <row r="166" spans="1:26" ht="12.7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4"/>
      <c r="P166" s="45"/>
      <c r="Q166" s="8"/>
      <c r="R166" s="19"/>
      <c r="S166" s="20"/>
      <c r="T166" s="29"/>
      <c r="U166" s="10">
        <f t="shared" si="11"/>
        <v>154</v>
      </c>
      <c r="V166" s="30" t="e">
        <f t="shared" si="8"/>
        <v>#DIV/0!</v>
      </c>
      <c r="W166" s="14" t="e">
        <f t="shared" si="9"/>
        <v>#DIV/0!</v>
      </c>
      <c r="X166" s="14" t="e">
        <f t="shared" si="10"/>
        <v>#DIV/0!</v>
      </c>
      <c r="Y166" s="48"/>
      <c r="Z166" s="33"/>
    </row>
    <row r="167" spans="1:26" ht="12.7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4"/>
      <c r="P167" s="45"/>
      <c r="Q167" s="8"/>
      <c r="R167" s="19"/>
      <c r="S167" s="20"/>
      <c r="T167" s="29"/>
      <c r="U167" s="10">
        <f t="shared" si="11"/>
        <v>155</v>
      </c>
      <c r="V167" s="30" t="e">
        <f t="shared" si="8"/>
        <v>#DIV/0!</v>
      </c>
      <c r="W167" s="14" t="e">
        <f t="shared" si="9"/>
        <v>#DIV/0!</v>
      </c>
      <c r="X167" s="14" t="e">
        <f t="shared" si="10"/>
        <v>#DIV/0!</v>
      </c>
      <c r="Y167" s="48"/>
      <c r="Z167" s="33"/>
    </row>
    <row r="168" spans="1:26" ht="12.7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4"/>
      <c r="P168" s="45"/>
      <c r="Q168" s="8"/>
      <c r="R168" s="19"/>
      <c r="S168" s="20"/>
      <c r="T168" s="29"/>
      <c r="U168" s="10">
        <f t="shared" si="11"/>
        <v>156</v>
      </c>
      <c r="V168" s="30" t="e">
        <f t="shared" si="8"/>
        <v>#DIV/0!</v>
      </c>
      <c r="W168" s="14" t="e">
        <f t="shared" si="9"/>
        <v>#DIV/0!</v>
      </c>
      <c r="X168" s="14" t="e">
        <f t="shared" si="10"/>
        <v>#DIV/0!</v>
      </c>
      <c r="Y168" s="48"/>
      <c r="Z168" s="33"/>
    </row>
    <row r="169" spans="1:26" ht="12.7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4"/>
      <c r="P169" s="45"/>
      <c r="Q169" s="8"/>
      <c r="R169" s="19"/>
      <c r="S169" s="20"/>
      <c r="T169" s="29"/>
      <c r="U169" s="10">
        <f t="shared" si="11"/>
        <v>157</v>
      </c>
      <c r="V169" s="30" t="e">
        <f t="shared" si="8"/>
        <v>#DIV/0!</v>
      </c>
      <c r="W169" s="14" t="e">
        <f t="shared" si="9"/>
        <v>#DIV/0!</v>
      </c>
      <c r="X169" s="14" t="e">
        <f t="shared" si="10"/>
        <v>#DIV/0!</v>
      </c>
      <c r="Y169" s="48"/>
      <c r="Z169" s="33"/>
    </row>
    <row r="170" spans="1:26" ht="12.7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4"/>
      <c r="P170" s="45"/>
      <c r="Q170" s="8"/>
      <c r="R170" s="19"/>
      <c r="S170" s="20"/>
      <c r="T170" s="29"/>
      <c r="U170" s="10">
        <f t="shared" si="11"/>
        <v>158</v>
      </c>
      <c r="V170" s="30" t="e">
        <f t="shared" si="8"/>
        <v>#DIV/0!</v>
      </c>
      <c r="W170" s="14" t="e">
        <f t="shared" si="9"/>
        <v>#DIV/0!</v>
      </c>
      <c r="X170" s="14" t="e">
        <f t="shared" si="10"/>
        <v>#DIV/0!</v>
      </c>
      <c r="Y170" s="48"/>
      <c r="Z170" s="33"/>
    </row>
    <row r="171" spans="1:26" ht="12.7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4"/>
      <c r="P171" s="45"/>
      <c r="Q171" s="21"/>
      <c r="R171" s="19"/>
      <c r="S171" s="20"/>
      <c r="T171" s="29"/>
      <c r="U171" s="10">
        <f t="shared" si="11"/>
        <v>159</v>
      </c>
      <c r="V171" s="30" t="e">
        <f t="shared" si="8"/>
        <v>#DIV/0!</v>
      </c>
      <c r="W171" s="14" t="e">
        <f t="shared" si="9"/>
        <v>#DIV/0!</v>
      </c>
      <c r="X171" s="14" t="e">
        <f t="shared" si="10"/>
        <v>#DIV/0!</v>
      </c>
      <c r="Y171" s="48"/>
      <c r="Z171" s="33"/>
    </row>
    <row r="172" spans="1:26" ht="12.7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4"/>
      <c r="P172" s="45"/>
      <c r="Q172" s="21"/>
      <c r="R172" s="19"/>
      <c r="S172" s="20"/>
      <c r="T172" s="29"/>
      <c r="U172" s="10">
        <f t="shared" si="11"/>
        <v>160</v>
      </c>
      <c r="V172" s="30" t="e">
        <f t="shared" si="8"/>
        <v>#DIV/0!</v>
      </c>
      <c r="W172" s="14" t="e">
        <f t="shared" si="9"/>
        <v>#DIV/0!</v>
      </c>
      <c r="X172" s="14" t="e">
        <f t="shared" si="10"/>
        <v>#DIV/0!</v>
      </c>
      <c r="Y172" s="48"/>
      <c r="Z172" s="33"/>
    </row>
    <row r="173" spans="1:26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4"/>
      <c r="P173" s="45"/>
      <c r="Q173" s="21"/>
      <c r="R173" s="19"/>
      <c r="S173" s="20"/>
      <c r="T173" s="29"/>
      <c r="U173" s="10">
        <f t="shared" si="11"/>
        <v>161</v>
      </c>
      <c r="V173" s="30" t="e">
        <f t="shared" si="8"/>
        <v>#DIV/0!</v>
      </c>
      <c r="W173" s="14" t="e">
        <f t="shared" si="9"/>
        <v>#DIV/0!</v>
      </c>
      <c r="X173" s="14" t="e">
        <f t="shared" si="10"/>
        <v>#DIV/0!</v>
      </c>
      <c r="Y173" s="48"/>
      <c r="Z173" s="33"/>
    </row>
    <row r="174" spans="1:26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4"/>
      <c r="P174" s="45"/>
      <c r="Q174" s="21"/>
      <c r="R174" s="19"/>
      <c r="S174" s="20"/>
      <c r="T174" s="29"/>
      <c r="U174" s="10">
        <f t="shared" si="11"/>
        <v>162</v>
      </c>
      <c r="V174" s="30" t="e">
        <f t="shared" si="8"/>
        <v>#DIV/0!</v>
      </c>
      <c r="W174" s="14" t="e">
        <f t="shared" si="9"/>
        <v>#DIV/0!</v>
      </c>
      <c r="X174" s="14" t="e">
        <f t="shared" si="10"/>
        <v>#DIV/0!</v>
      </c>
      <c r="Y174" s="48"/>
      <c r="Z174" s="33"/>
    </row>
    <row r="175" spans="1:26" ht="12.7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4"/>
      <c r="P175" s="45"/>
      <c r="Q175" s="21"/>
      <c r="R175" s="19"/>
      <c r="S175" s="20"/>
      <c r="T175" s="29"/>
      <c r="U175" s="10">
        <f t="shared" si="11"/>
        <v>163</v>
      </c>
      <c r="V175" s="30" t="e">
        <f t="shared" si="8"/>
        <v>#DIV/0!</v>
      </c>
      <c r="W175" s="14" t="e">
        <f t="shared" si="9"/>
        <v>#DIV/0!</v>
      </c>
      <c r="X175" s="14" t="e">
        <f t="shared" si="10"/>
        <v>#DIV/0!</v>
      </c>
      <c r="Y175" s="48"/>
      <c r="Z175" s="33"/>
    </row>
    <row r="176" spans="1:26" ht="12.7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4"/>
      <c r="P176" s="45"/>
      <c r="Q176" s="21"/>
      <c r="R176" s="19"/>
      <c r="S176" s="20"/>
      <c r="T176" s="29"/>
      <c r="U176" s="10">
        <f t="shared" si="11"/>
        <v>164</v>
      </c>
      <c r="V176" s="30" t="e">
        <f t="shared" si="8"/>
        <v>#DIV/0!</v>
      </c>
      <c r="W176" s="14" t="e">
        <f t="shared" si="9"/>
        <v>#DIV/0!</v>
      </c>
      <c r="X176" s="14" t="e">
        <f t="shared" si="10"/>
        <v>#DIV/0!</v>
      </c>
      <c r="Y176" s="48"/>
      <c r="Z176" s="33"/>
    </row>
    <row r="177" spans="1:26" ht="12.7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4"/>
      <c r="P177" s="45"/>
      <c r="Q177" s="21"/>
      <c r="R177" s="19"/>
      <c r="S177" s="20"/>
      <c r="T177" s="29"/>
      <c r="U177" s="10">
        <f t="shared" si="11"/>
        <v>165</v>
      </c>
      <c r="V177" s="30" t="e">
        <f t="shared" si="8"/>
        <v>#DIV/0!</v>
      </c>
      <c r="W177" s="14" t="e">
        <f t="shared" si="9"/>
        <v>#DIV/0!</v>
      </c>
      <c r="X177" s="14" t="e">
        <f t="shared" si="10"/>
        <v>#DIV/0!</v>
      </c>
      <c r="Y177" s="48"/>
      <c r="Z177" s="33"/>
    </row>
    <row r="178" spans="1:26" ht="12.7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4"/>
      <c r="P178" s="45"/>
      <c r="Q178" s="21"/>
      <c r="R178" s="19"/>
      <c r="S178" s="20"/>
      <c r="T178" s="29"/>
      <c r="U178" s="10">
        <f t="shared" si="11"/>
        <v>166</v>
      </c>
      <c r="V178" s="30" t="e">
        <f t="shared" si="8"/>
        <v>#DIV/0!</v>
      </c>
      <c r="W178" s="14" t="e">
        <f t="shared" si="9"/>
        <v>#DIV/0!</v>
      </c>
      <c r="X178" s="14" t="e">
        <f t="shared" si="10"/>
        <v>#DIV/0!</v>
      </c>
      <c r="Y178" s="48"/>
      <c r="Z178" s="33"/>
    </row>
    <row r="179" spans="1:26" ht="12.7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4"/>
      <c r="P179" s="45"/>
      <c r="Q179" s="5"/>
      <c r="R179" s="5"/>
      <c r="S179" s="5"/>
      <c r="T179" s="29"/>
      <c r="U179" s="10">
        <f t="shared" si="11"/>
        <v>167</v>
      </c>
      <c r="V179" s="30" t="e">
        <f t="shared" si="8"/>
        <v>#DIV/0!</v>
      </c>
      <c r="W179" s="14" t="e">
        <f t="shared" si="9"/>
        <v>#DIV/0!</v>
      </c>
      <c r="X179" s="14" t="e">
        <f t="shared" si="10"/>
        <v>#DIV/0!</v>
      </c>
      <c r="Y179" s="48"/>
      <c r="Z179" s="33"/>
    </row>
    <row r="180" spans="1:26" ht="12.7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4"/>
      <c r="P180" s="45"/>
      <c r="Q180" s="5"/>
      <c r="R180" s="5"/>
      <c r="S180" s="5"/>
      <c r="T180" s="29"/>
      <c r="U180" s="10">
        <f t="shared" si="11"/>
        <v>168</v>
      </c>
      <c r="V180" s="30" t="e">
        <f t="shared" si="8"/>
        <v>#DIV/0!</v>
      </c>
      <c r="W180" s="14" t="e">
        <f t="shared" si="9"/>
        <v>#DIV/0!</v>
      </c>
      <c r="X180" s="14" t="e">
        <f t="shared" si="10"/>
        <v>#DIV/0!</v>
      </c>
      <c r="Y180" s="48"/>
      <c r="Z180" s="33"/>
    </row>
    <row r="181" spans="1:26" ht="12.7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4"/>
      <c r="P181" s="45"/>
      <c r="Q181" s="5"/>
      <c r="R181" s="5"/>
      <c r="S181" s="5"/>
      <c r="T181" s="29"/>
      <c r="U181" s="10">
        <f t="shared" si="11"/>
        <v>169</v>
      </c>
      <c r="V181" s="30" t="e">
        <f t="shared" si="8"/>
        <v>#DIV/0!</v>
      </c>
      <c r="W181" s="14" t="e">
        <f t="shared" si="9"/>
        <v>#DIV/0!</v>
      </c>
      <c r="X181" s="14" t="e">
        <f t="shared" si="10"/>
        <v>#DIV/0!</v>
      </c>
      <c r="Y181" s="48"/>
      <c r="Z181" s="33"/>
    </row>
    <row r="182" spans="1:26" ht="12.7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4"/>
      <c r="P182" s="45"/>
      <c r="Q182" s="5"/>
      <c r="R182" s="5"/>
      <c r="S182" s="5"/>
      <c r="T182" s="29"/>
      <c r="U182" s="10">
        <f t="shared" si="11"/>
        <v>170</v>
      </c>
      <c r="V182" s="30" t="e">
        <f t="shared" si="8"/>
        <v>#DIV/0!</v>
      </c>
      <c r="W182" s="14" t="e">
        <f t="shared" si="9"/>
        <v>#DIV/0!</v>
      </c>
      <c r="X182" s="14" t="e">
        <f t="shared" si="10"/>
        <v>#DIV/0!</v>
      </c>
      <c r="Y182" s="48"/>
      <c r="Z182" s="33"/>
    </row>
    <row r="183" spans="1:26" ht="12.7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4"/>
      <c r="P183" s="45"/>
      <c r="Q183" s="5"/>
      <c r="R183" s="5"/>
      <c r="S183" s="5"/>
      <c r="T183" s="29"/>
      <c r="U183" s="10">
        <f t="shared" si="11"/>
        <v>171</v>
      </c>
      <c r="V183" s="30" t="e">
        <f t="shared" si="8"/>
        <v>#DIV/0!</v>
      </c>
      <c r="W183" s="14" t="e">
        <f t="shared" si="9"/>
        <v>#DIV/0!</v>
      </c>
      <c r="X183" s="14" t="e">
        <f t="shared" si="10"/>
        <v>#DIV/0!</v>
      </c>
      <c r="Y183" s="48"/>
      <c r="Z183" s="33"/>
    </row>
    <row r="184" spans="1:26" ht="12.7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4"/>
      <c r="P184" s="45"/>
      <c r="Q184" s="5"/>
      <c r="R184" s="5"/>
      <c r="S184" s="5"/>
      <c r="T184" s="29"/>
      <c r="U184" s="10">
        <f t="shared" si="11"/>
        <v>172</v>
      </c>
      <c r="V184" s="30" t="e">
        <f t="shared" si="8"/>
        <v>#DIV/0!</v>
      </c>
      <c r="W184" s="14" t="e">
        <f t="shared" si="9"/>
        <v>#DIV/0!</v>
      </c>
      <c r="X184" s="14" t="e">
        <f t="shared" si="10"/>
        <v>#DIV/0!</v>
      </c>
      <c r="Y184" s="48"/>
      <c r="Z184" s="33"/>
    </row>
    <row r="185" spans="1:26" ht="12.7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4"/>
      <c r="P185" s="45"/>
      <c r="Q185" s="5"/>
      <c r="R185" s="5"/>
      <c r="S185" s="5"/>
      <c r="T185" s="29"/>
      <c r="U185" s="10">
        <f t="shared" si="11"/>
        <v>173</v>
      </c>
      <c r="V185" s="30" t="e">
        <f t="shared" si="8"/>
        <v>#DIV/0!</v>
      </c>
      <c r="W185" s="14" t="e">
        <f t="shared" si="9"/>
        <v>#DIV/0!</v>
      </c>
      <c r="X185" s="14" t="e">
        <f t="shared" si="10"/>
        <v>#DIV/0!</v>
      </c>
      <c r="Y185" s="48"/>
      <c r="Z185" s="33"/>
    </row>
    <row r="186" spans="1:26" ht="12.7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4"/>
      <c r="P186" s="45"/>
      <c r="Q186" s="5"/>
      <c r="R186" s="5"/>
      <c r="S186" s="5"/>
      <c r="T186" s="29"/>
      <c r="U186" s="10">
        <f t="shared" si="11"/>
        <v>174</v>
      </c>
      <c r="V186" s="30" t="e">
        <f t="shared" si="8"/>
        <v>#DIV/0!</v>
      </c>
      <c r="W186" s="14" t="e">
        <f t="shared" si="9"/>
        <v>#DIV/0!</v>
      </c>
      <c r="X186" s="14" t="e">
        <f t="shared" si="10"/>
        <v>#DIV/0!</v>
      </c>
      <c r="Y186" s="48"/>
      <c r="Z186" s="33"/>
    </row>
    <row r="187" spans="1:26" ht="12.7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4"/>
      <c r="P187" s="45"/>
      <c r="Q187" s="5"/>
      <c r="R187" s="5"/>
      <c r="S187" s="5"/>
      <c r="T187" s="29"/>
      <c r="U187" s="10">
        <f t="shared" si="11"/>
        <v>175</v>
      </c>
      <c r="V187" s="30" t="e">
        <f t="shared" si="8"/>
        <v>#DIV/0!</v>
      </c>
      <c r="W187" s="14" t="e">
        <f t="shared" si="9"/>
        <v>#DIV/0!</v>
      </c>
      <c r="X187" s="14" t="e">
        <f t="shared" si="10"/>
        <v>#DIV/0!</v>
      </c>
      <c r="Y187" s="48"/>
      <c r="Z187" s="33"/>
    </row>
    <row r="188" spans="1:26" ht="12.7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4"/>
      <c r="P188" s="45"/>
      <c r="Q188" s="5"/>
      <c r="R188" s="5"/>
      <c r="S188" s="5"/>
      <c r="T188" s="29"/>
      <c r="U188" s="10">
        <f t="shared" si="11"/>
        <v>176</v>
      </c>
      <c r="V188" s="30" t="e">
        <f t="shared" si="8"/>
        <v>#DIV/0!</v>
      </c>
      <c r="W188" s="14" t="e">
        <f t="shared" si="9"/>
        <v>#DIV/0!</v>
      </c>
      <c r="X188" s="14" t="e">
        <f t="shared" si="10"/>
        <v>#DIV/0!</v>
      </c>
      <c r="Y188" s="48"/>
      <c r="Z188" s="33"/>
    </row>
    <row r="189" spans="1:26" ht="12.7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4"/>
      <c r="P189" s="45"/>
      <c r="Q189" s="5"/>
      <c r="R189" s="5"/>
      <c r="S189" s="5"/>
      <c r="T189" s="29"/>
      <c r="U189" s="10">
        <f t="shared" si="11"/>
        <v>177</v>
      </c>
      <c r="V189" s="30" t="e">
        <f t="shared" si="8"/>
        <v>#DIV/0!</v>
      </c>
      <c r="W189" s="14" t="e">
        <f t="shared" si="9"/>
        <v>#DIV/0!</v>
      </c>
      <c r="X189" s="14" t="e">
        <f t="shared" si="10"/>
        <v>#DIV/0!</v>
      </c>
      <c r="Y189" s="48"/>
      <c r="Z189" s="33"/>
    </row>
    <row r="190" spans="1:26" ht="12.7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4"/>
      <c r="P190" s="45"/>
      <c r="Q190" s="5"/>
      <c r="R190" s="5"/>
      <c r="S190" s="5"/>
      <c r="T190" s="29"/>
      <c r="U190" s="10">
        <f t="shared" si="11"/>
        <v>178</v>
      </c>
      <c r="V190" s="30" t="e">
        <f t="shared" si="8"/>
        <v>#DIV/0!</v>
      </c>
      <c r="W190" s="14" t="e">
        <f t="shared" si="9"/>
        <v>#DIV/0!</v>
      </c>
      <c r="X190" s="14" t="e">
        <f t="shared" si="10"/>
        <v>#DIV/0!</v>
      </c>
      <c r="Y190" s="48"/>
      <c r="Z190" s="33"/>
    </row>
    <row r="191" spans="1:26" ht="12.7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4"/>
      <c r="P191" s="45"/>
      <c r="Q191" s="5"/>
      <c r="R191" s="5"/>
      <c r="S191" s="5"/>
      <c r="T191" s="29"/>
      <c r="U191" s="10">
        <f t="shared" si="11"/>
        <v>179</v>
      </c>
      <c r="V191" s="30" t="e">
        <f t="shared" si="8"/>
        <v>#DIV/0!</v>
      </c>
      <c r="W191" s="14" t="e">
        <f t="shared" si="9"/>
        <v>#DIV/0!</v>
      </c>
      <c r="X191" s="14" t="e">
        <f t="shared" si="10"/>
        <v>#DIV/0!</v>
      </c>
      <c r="Y191" s="48"/>
      <c r="Z191" s="33"/>
    </row>
    <row r="192" spans="1:26" ht="12.7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4"/>
      <c r="P192" s="45"/>
      <c r="Q192" s="5"/>
      <c r="R192" s="5"/>
      <c r="S192" s="5"/>
      <c r="T192" s="29"/>
      <c r="U192" s="10">
        <f t="shared" si="11"/>
        <v>180</v>
      </c>
      <c r="V192" s="30" t="e">
        <f t="shared" si="8"/>
        <v>#DIV/0!</v>
      </c>
      <c r="W192" s="14" t="e">
        <f t="shared" si="9"/>
        <v>#DIV/0!</v>
      </c>
      <c r="X192" s="14" t="e">
        <f t="shared" si="10"/>
        <v>#DIV/0!</v>
      </c>
      <c r="Y192" s="48"/>
      <c r="Z192" s="33"/>
    </row>
    <row r="193" spans="1:26" ht="12.7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4"/>
      <c r="P193" s="45"/>
      <c r="Q193" s="5"/>
      <c r="R193" s="5"/>
      <c r="S193" s="5"/>
      <c r="T193" s="29"/>
      <c r="U193" s="10">
        <f t="shared" si="11"/>
        <v>181</v>
      </c>
      <c r="V193" s="30" t="e">
        <f t="shared" si="8"/>
        <v>#DIV/0!</v>
      </c>
      <c r="W193" s="14" t="e">
        <f t="shared" si="9"/>
        <v>#DIV/0!</v>
      </c>
      <c r="X193" s="14" t="e">
        <f t="shared" si="10"/>
        <v>#DIV/0!</v>
      </c>
      <c r="Y193" s="48"/>
      <c r="Z193" s="33"/>
    </row>
    <row r="194" spans="1:26" ht="12.7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4"/>
      <c r="P194" s="45"/>
      <c r="Q194" s="5"/>
      <c r="R194" s="5"/>
      <c r="S194" s="5"/>
      <c r="T194" s="29"/>
      <c r="U194" s="10">
        <f t="shared" si="11"/>
        <v>182</v>
      </c>
      <c r="V194" s="30" t="e">
        <f t="shared" si="8"/>
        <v>#DIV/0!</v>
      </c>
      <c r="W194" s="14" t="e">
        <f t="shared" si="9"/>
        <v>#DIV/0!</v>
      </c>
      <c r="X194" s="14" t="e">
        <f t="shared" si="10"/>
        <v>#DIV/0!</v>
      </c>
      <c r="Y194" s="48"/>
      <c r="Z194" s="33"/>
    </row>
    <row r="195" spans="1:26" ht="12.7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4"/>
      <c r="P195" s="45"/>
      <c r="Q195" s="5"/>
      <c r="R195" s="5"/>
      <c r="S195" s="5"/>
      <c r="T195" s="29"/>
      <c r="U195" s="10">
        <f t="shared" si="11"/>
        <v>183</v>
      </c>
      <c r="V195" s="30" t="e">
        <f t="shared" si="8"/>
        <v>#DIV/0!</v>
      </c>
      <c r="W195" s="14" t="e">
        <f t="shared" si="9"/>
        <v>#DIV/0!</v>
      </c>
      <c r="X195" s="14" t="e">
        <f t="shared" si="10"/>
        <v>#DIV/0!</v>
      </c>
      <c r="Y195" s="48"/>
      <c r="Z195" s="33"/>
    </row>
    <row r="196" spans="1:26" ht="12.7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4"/>
      <c r="P196" s="45"/>
      <c r="Q196" s="5"/>
      <c r="R196" s="5"/>
      <c r="S196" s="5"/>
      <c r="T196" s="29"/>
      <c r="U196" s="10">
        <f t="shared" si="11"/>
        <v>184</v>
      </c>
      <c r="V196" s="30" t="e">
        <f t="shared" si="8"/>
        <v>#DIV/0!</v>
      </c>
      <c r="W196" s="14" t="e">
        <f t="shared" si="9"/>
        <v>#DIV/0!</v>
      </c>
      <c r="X196" s="14" t="e">
        <f t="shared" si="10"/>
        <v>#DIV/0!</v>
      </c>
      <c r="Y196" s="48"/>
      <c r="Z196" s="33"/>
    </row>
    <row r="197" spans="1:26" ht="12.7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4"/>
      <c r="P197" s="45"/>
      <c r="Q197" s="5"/>
      <c r="R197" s="5"/>
      <c r="S197" s="5"/>
      <c r="T197" s="5"/>
      <c r="U197" s="10">
        <f t="shared" si="11"/>
        <v>185</v>
      </c>
      <c r="V197" s="30" t="e">
        <f t="shared" si="8"/>
        <v>#DIV/0!</v>
      </c>
      <c r="W197" s="14" t="e">
        <f t="shared" si="9"/>
        <v>#DIV/0!</v>
      </c>
      <c r="X197" s="14" t="e">
        <f t="shared" si="10"/>
        <v>#DIV/0!</v>
      </c>
      <c r="Y197" s="48"/>
      <c r="Z197" s="33"/>
    </row>
    <row r="198" spans="1:26" ht="12.7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4"/>
      <c r="P198" s="45"/>
      <c r="Q198" s="5"/>
      <c r="R198" s="5"/>
      <c r="S198" s="5"/>
      <c r="T198" s="5"/>
      <c r="U198" s="10">
        <f t="shared" si="11"/>
        <v>186</v>
      </c>
      <c r="V198" s="30" t="e">
        <f t="shared" si="8"/>
        <v>#DIV/0!</v>
      </c>
      <c r="W198" s="14" t="e">
        <f t="shared" si="9"/>
        <v>#DIV/0!</v>
      </c>
      <c r="X198" s="14" t="e">
        <f t="shared" si="10"/>
        <v>#DIV/0!</v>
      </c>
      <c r="Y198" s="48"/>
      <c r="Z198" s="33"/>
    </row>
    <row r="199" spans="1:26" ht="12.7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4"/>
      <c r="P199" s="45"/>
      <c r="Q199" s="5"/>
      <c r="R199" s="5"/>
      <c r="S199" s="5"/>
      <c r="T199" s="5"/>
      <c r="U199" s="10">
        <f t="shared" si="11"/>
        <v>187</v>
      </c>
      <c r="V199" s="30" t="e">
        <f t="shared" si="8"/>
        <v>#DIV/0!</v>
      </c>
      <c r="W199" s="14" t="e">
        <f t="shared" si="9"/>
        <v>#DIV/0!</v>
      </c>
      <c r="X199" s="14" t="e">
        <f t="shared" si="10"/>
        <v>#DIV/0!</v>
      </c>
      <c r="Y199" s="48"/>
      <c r="Z199" s="33"/>
    </row>
    <row r="200" spans="1:26" ht="12.7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4"/>
      <c r="P200" s="45"/>
      <c r="Q200" s="5"/>
      <c r="R200" s="5"/>
      <c r="S200" s="5"/>
      <c r="T200" s="5"/>
      <c r="U200" s="10">
        <f t="shared" si="11"/>
        <v>188</v>
      </c>
      <c r="V200" s="30" t="e">
        <f t="shared" si="8"/>
        <v>#DIV/0!</v>
      </c>
      <c r="W200" s="14" t="e">
        <f t="shared" si="9"/>
        <v>#DIV/0!</v>
      </c>
      <c r="X200" s="14" t="e">
        <f t="shared" si="10"/>
        <v>#DIV/0!</v>
      </c>
      <c r="Y200" s="48"/>
      <c r="Z200" s="33"/>
    </row>
    <row r="201" spans="1:26" ht="12.7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4"/>
      <c r="P201" s="45"/>
      <c r="Q201" s="5"/>
      <c r="R201" s="5"/>
      <c r="S201" s="5"/>
      <c r="T201" s="5"/>
      <c r="U201" s="10">
        <f t="shared" si="11"/>
        <v>189</v>
      </c>
      <c r="V201" s="30" t="e">
        <f t="shared" si="8"/>
        <v>#DIV/0!</v>
      </c>
      <c r="W201" s="14" t="e">
        <f t="shared" si="9"/>
        <v>#DIV/0!</v>
      </c>
      <c r="X201" s="14" t="e">
        <f t="shared" si="10"/>
        <v>#DIV/0!</v>
      </c>
      <c r="Y201" s="48"/>
      <c r="Z201" s="33"/>
    </row>
    <row r="202" spans="1:26" ht="12.7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4"/>
      <c r="P202" s="45"/>
      <c r="Q202" s="5"/>
      <c r="R202" s="5"/>
      <c r="S202" s="5"/>
      <c r="T202" s="5"/>
      <c r="U202" s="10">
        <f t="shared" si="11"/>
        <v>190</v>
      </c>
      <c r="V202" s="30" t="e">
        <f t="shared" si="8"/>
        <v>#DIV/0!</v>
      </c>
      <c r="W202" s="14" t="e">
        <f t="shared" si="9"/>
        <v>#DIV/0!</v>
      </c>
      <c r="X202" s="14" t="e">
        <f t="shared" si="10"/>
        <v>#DIV/0!</v>
      </c>
      <c r="Y202" s="48"/>
      <c r="Z202" s="33"/>
    </row>
    <row r="203" spans="1:26" ht="12.7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4"/>
      <c r="P203" s="45"/>
      <c r="Q203" s="5"/>
      <c r="R203" s="5"/>
      <c r="S203" s="5"/>
      <c r="T203" s="5"/>
      <c r="U203" s="10">
        <f t="shared" si="11"/>
        <v>191</v>
      </c>
      <c r="V203" s="30" t="e">
        <f t="shared" si="8"/>
        <v>#DIV/0!</v>
      </c>
      <c r="W203" s="14" t="e">
        <f t="shared" si="9"/>
        <v>#DIV/0!</v>
      </c>
      <c r="X203" s="14" t="e">
        <f t="shared" si="10"/>
        <v>#DIV/0!</v>
      </c>
      <c r="Y203" s="48"/>
      <c r="Z203" s="33"/>
    </row>
    <row r="204" spans="1:26" ht="12.7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4"/>
      <c r="P204" s="45"/>
      <c r="Q204" s="5"/>
      <c r="R204" s="5"/>
      <c r="S204" s="5"/>
      <c r="T204" s="5"/>
      <c r="U204" s="10">
        <f t="shared" si="11"/>
        <v>192</v>
      </c>
      <c r="V204" s="30" t="e">
        <f aca="true" t="shared" si="12" ref="V204:V267">SQRT((W204-SLU_Half_Luff_a_x)^2+(X204-SLU_Half_Luff_a_y)^2)</f>
        <v>#DIV/0!</v>
      </c>
      <c r="W204" s="14" t="e">
        <f t="shared" si="9"/>
        <v>#DIV/0!</v>
      </c>
      <c r="X204" s="14" t="e">
        <f t="shared" si="10"/>
        <v>#DIV/0!</v>
      </c>
      <c r="Y204" s="48"/>
      <c r="Z204" s="33"/>
    </row>
    <row r="205" spans="1:26" ht="12.7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4"/>
      <c r="P205" s="45"/>
      <c r="Q205" s="5"/>
      <c r="R205" s="5"/>
      <c r="S205" s="5"/>
      <c r="T205" s="5"/>
      <c r="U205" s="10">
        <f t="shared" si="11"/>
        <v>193</v>
      </c>
      <c r="V205" s="30" t="e">
        <f t="shared" si="12"/>
        <v>#DIV/0!</v>
      </c>
      <c r="W205" s="14" t="e">
        <f aca="true" t="shared" si="13" ref="W205:W268">Start_for_int_x+U205*Step_Inc*COS(SLE_Mid_Luff_Angle_r)</f>
        <v>#DIV/0!</v>
      </c>
      <c r="X205" s="14" t="e">
        <f aca="true" t="shared" si="14" ref="X205:X268">Start_for_int_y+U205*Step_Inc*SIN(SLE_Mid_Luff_Angle_r)</f>
        <v>#DIV/0!</v>
      </c>
      <c r="Y205" s="48"/>
      <c r="Z205" s="33"/>
    </row>
    <row r="206" spans="1:26" ht="12.7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4"/>
      <c r="P206" s="45"/>
      <c r="Q206" s="5"/>
      <c r="R206" s="5"/>
      <c r="S206" s="5"/>
      <c r="T206" s="5"/>
      <c r="U206" s="10">
        <f aca="true" t="shared" si="15" ref="U206:U269">U205+1</f>
        <v>194</v>
      </c>
      <c r="V206" s="30" t="e">
        <f t="shared" si="12"/>
        <v>#DIV/0!</v>
      </c>
      <c r="W206" s="14" t="e">
        <f t="shared" si="13"/>
        <v>#DIV/0!</v>
      </c>
      <c r="X206" s="14" t="e">
        <f t="shared" si="14"/>
        <v>#DIV/0!</v>
      </c>
      <c r="Y206" s="48"/>
      <c r="Z206" s="33"/>
    </row>
    <row r="207" spans="1:26" ht="12.7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4"/>
      <c r="P207" s="45"/>
      <c r="Q207" s="5"/>
      <c r="R207" s="5"/>
      <c r="S207" s="5"/>
      <c r="T207" s="5"/>
      <c r="U207" s="10">
        <f t="shared" si="15"/>
        <v>195</v>
      </c>
      <c r="V207" s="30" t="e">
        <f t="shared" si="12"/>
        <v>#DIV/0!</v>
      </c>
      <c r="W207" s="14" t="e">
        <f t="shared" si="13"/>
        <v>#DIV/0!</v>
      </c>
      <c r="X207" s="14" t="e">
        <f t="shared" si="14"/>
        <v>#DIV/0!</v>
      </c>
      <c r="Y207" s="48"/>
      <c r="Z207" s="33"/>
    </row>
    <row r="208" spans="1:26" ht="12.7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4"/>
      <c r="P208" s="45"/>
      <c r="Q208" s="5"/>
      <c r="R208" s="5"/>
      <c r="S208" s="5"/>
      <c r="T208" s="5"/>
      <c r="U208" s="10">
        <f t="shared" si="15"/>
        <v>196</v>
      </c>
      <c r="V208" s="30" t="e">
        <f t="shared" si="12"/>
        <v>#DIV/0!</v>
      </c>
      <c r="W208" s="14" t="e">
        <f t="shared" si="13"/>
        <v>#DIV/0!</v>
      </c>
      <c r="X208" s="14" t="e">
        <f t="shared" si="14"/>
        <v>#DIV/0!</v>
      </c>
      <c r="Y208" s="48"/>
      <c r="Z208" s="33"/>
    </row>
    <row r="209" spans="1:26" ht="12.7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4"/>
      <c r="P209" s="45"/>
      <c r="Q209" s="5"/>
      <c r="R209" s="5"/>
      <c r="S209" s="5"/>
      <c r="T209" s="5"/>
      <c r="U209" s="10">
        <f t="shared" si="15"/>
        <v>197</v>
      </c>
      <c r="V209" s="30" t="e">
        <f t="shared" si="12"/>
        <v>#DIV/0!</v>
      </c>
      <c r="W209" s="14" t="e">
        <f t="shared" si="13"/>
        <v>#DIV/0!</v>
      </c>
      <c r="X209" s="14" t="e">
        <f t="shared" si="14"/>
        <v>#DIV/0!</v>
      </c>
      <c r="Y209" s="48"/>
      <c r="Z209" s="33"/>
    </row>
    <row r="210" spans="1:26" ht="12.7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4"/>
      <c r="P210" s="45"/>
      <c r="Q210" s="5"/>
      <c r="R210" s="5"/>
      <c r="S210" s="5"/>
      <c r="T210" s="5"/>
      <c r="U210" s="10">
        <f t="shared" si="15"/>
        <v>198</v>
      </c>
      <c r="V210" s="30" t="e">
        <f t="shared" si="12"/>
        <v>#DIV/0!</v>
      </c>
      <c r="W210" s="14" t="e">
        <f t="shared" si="13"/>
        <v>#DIV/0!</v>
      </c>
      <c r="X210" s="14" t="e">
        <f t="shared" si="14"/>
        <v>#DIV/0!</v>
      </c>
      <c r="Y210" s="48"/>
      <c r="Z210" s="33"/>
    </row>
    <row r="211" spans="1:26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4"/>
      <c r="P211" s="45"/>
      <c r="Q211" s="5"/>
      <c r="R211" s="5"/>
      <c r="S211" s="5"/>
      <c r="T211" s="5"/>
      <c r="U211" s="10">
        <f t="shared" si="15"/>
        <v>199</v>
      </c>
      <c r="V211" s="30" t="e">
        <f t="shared" si="12"/>
        <v>#DIV/0!</v>
      </c>
      <c r="W211" s="14" t="e">
        <f t="shared" si="13"/>
        <v>#DIV/0!</v>
      </c>
      <c r="X211" s="14" t="e">
        <f t="shared" si="14"/>
        <v>#DIV/0!</v>
      </c>
      <c r="Y211" s="48"/>
      <c r="Z211" s="33"/>
    </row>
    <row r="212" spans="1:26" ht="12.7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4"/>
      <c r="P212" s="45"/>
      <c r="Q212" s="5"/>
      <c r="R212" s="5"/>
      <c r="S212" s="5"/>
      <c r="T212" s="5"/>
      <c r="U212" s="10">
        <f t="shared" si="15"/>
        <v>200</v>
      </c>
      <c r="V212" s="30" t="e">
        <f t="shared" si="12"/>
        <v>#DIV/0!</v>
      </c>
      <c r="W212" s="14" t="e">
        <f t="shared" si="13"/>
        <v>#DIV/0!</v>
      </c>
      <c r="X212" s="14" t="e">
        <f t="shared" si="14"/>
        <v>#DIV/0!</v>
      </c>
      <c r="Y212" s="48"/>
      <c r="Z212" s="33"/>
    </row>
    <row r="213" spans="1:26" ht="12.7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4"/>
      <c r="P213" s="45"/>
      <c r="Q213" s="5"/>
      <c r="R213" s="5"/>
      <c r="S213" s="5"/>
      <c r="T213" s="5"/>
      <c r="U213" s="10">
        <f t="shared" si="15"/>
        <v>201</v>
      </c>
      <c r="V213" s="30" t="e">
        <f t="shared" si="12"/>
        <v>#DIV/0!</v>
      </c>
      <c r="W213" s="14" t="e">
        <f t="shared" si="13"/>
        <v>#DIV/0!</v>
      </c>
      <c r="X213" s="14" t="e">
        <f t="shared" si="14"/>
        <v>#DIV/0!</v>
      </c>
      <c r="Y213" s="48"/>
      <c r="Z213" s="33"/>
    </row>
    <row r="214" spans="1:26" ht="12.7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4"/>
      <c r="P214" s="45"/>
      <c r="Q214" s="5"/>
      <c r="R214" s="5"/>
      <c r="S214" s="5"/>
      <c r="T214" s="5"/>
      <c r="U214" s="10">
        <f t="shared" si="15"/>
        <v>202</v>
      </c>
      <c r="V214" s="30" t="e">
        <f t="shared" si="12"/>
        <v>#DIV/0!</v>
      </c>
      <c r="W214" s="14" t="e">
        <f t="shared" si="13"/>
        <v>#DIV/0!</v>
      </c>
      <c r="X214" s="14" t="e">
        <f t="shared" si="14"/>
        <v>#DIV/0!</v>
      </c>
      <c r="Y214" s="48"/>
      <c r="Z214" s="33"/>
    </row>
    <row r="215" spans="1:26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4"/>
      <c r="P215" s="45"/>
      <c r="Q215" s="5"/>
      <c r="R215" s="5"/>
      <c r="S215" s="5"/>
      <c r="T215" s="5"/>
      <c r="U215" s="10">
        <f t="shared" si="15"/>
        <v>203</v>
      </c>
      <c r="V215" s="30" t="e">
        <f t="shared" si="12"/>
        <v>#DIV/0!</v>
      </c>
      <c r="W215" s="14" t="e">
        <f t="shared" si="13"/>
        <v>#DIV/0!</v>
      </c>
      <c r="X215" s="14" t="e">
        <f t="shared" si="14"/>
        <v>#DIV/0!</v>
      </c>
      <c r="Y215" s="48"/>
      <c r="Z215" s="33"/>
    </row>
    <row r="216" spans="1:26" ht="12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4"/>
      <c r="P216" s="45"/>
      <c r="Q216" s="5"/>
      <c r="R216" s="5"/>
      <c r="S216" s="5"/>
      <c r="T216" s="5"/>
      <c r="U216" s="10">
        <f t="shared" si="15"/>
        <v>204</v>
      </c>
      <c r="V216" s="30" t="e">
        <f t="shared" si="12"/>
        <v>#DIV/0!</v>
      </c>
      <c r="W216" s="14" t="e">
        <f t="shared" si="13"/>
        <v>#DIV/0!</v>
      </c>
      <c r="X216" s="14" t="e">
        <f t="shared" si="14"/>
        <v>#DIV/0!</v>
      </c>
      <c r="Y216" s="48"/>
      <c r="Z216" s="33"/>
    </row>
    <row r="217" spans="1:26" ht="12.7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4"/>
      <c r="P217" s="45"/>
      <c r="Q217" s="5"/>
      <c r="R217" s="5"/>
      <c r="S217" s="5"/>
      <c r="T217" s="5"/>
      <c r="U217" s="10">
        <f t="shared" si="15"/>
        <v>205</v>
      </c>
      <c r="V217" s="30" t="e">
        <f t="shared" si="12"/>
        <v>#DIV/0!</v>
      </c>
      <c r="W217" s="14" t="e">
        <f t="shared" si="13"/>
        <v>#DIV/0!</v>
      </c>
      <c r="X217" s="14" t="e">
        <f t="shared" si="14"/>
        <v>#DIV/0!</v>
      </c>
      <c r="Y217" s="48"/>
      <c r="Z217" s="33"/>
    </row>
    <row r="218" spans="1:26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4"/>
      <c r="P218" s="45"/>
      <c r="Q218" s="5"/>
      <c r="R218" s="5"/>
      <c r="S218" s="5"/>
      <c r="T218" s="5"/>
      <c r="U218" s="10">
        <f t="shared" si="15"/>
        <v>206</v>
      </c>
      <c r="V218" s="30" t="e">
        <f t="shared" si="12"/>
        <v>#DIV/0!</v>
      </c>
      <c r="W218" s="14" t="e">
        <f t="shared" si="13"/>
        <v>#DIV/0!</v>
      </c>
      <c r="X218" s="14" t="e">
        <f t="shared" si="14"/>
        <v>#DIV/0!</v>
      </c>
      <c r="Y218" s="48"/>
      <c r="Z218" s="33"/>
    </row>
    <row r="219" spans="1:26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4"/>
      <c r="P219" s="45"/>
      <c r="Q219" s="5"/>
      <c r="R219" s="5"/>
      <c r="S219" s="5"/>
      <c r="T219" s="5"/>
      <c r="U219" s="10">
        <f t="shared" si="15"/>
        <v>207</v>
      </c>
      <c r="V219" s="30" t="e">
        <f t="shared" si="12"/>
        <v>#DIV/0!</v>
      </c>
      <c r="W219" s="14" t="e">
        <f t="shared" si="13"/>
        <v>#DIV/0!</v>
      </c>
      <c r="X219" s="14" t="e">
        <f t="shared" si="14"/>
        <v>#DIV/0!</v>
      </c>
      <c r="Y219" s="48"/>
      <c r="Z219" s="33"/>
    </row>
    <row r="220" spans="1:26" ht="12.7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4"/>
      <c r="P220" s="45"/>
      <c r="Q220" s="5"/>
      <c r="R220" s="5"/>
      <c r="S220" s="5"/>
      <c r="T220" s="5"/>
      <c r="U220" s="10">
        <f t="shared" si="15"/>
        <v>208</v>
      </c>
      <c r="V220" s="30" t="e">
        <f t="shared" si="12"/>
        <v>#DIV/0!</v>
      </c>
      <c r="W220" s="14" t="e">
        <f t="shared" si="13"/>
        <v>#DIV/0!</v>
      </c>
      <c r="X220" s="14" t="e">
        <f t="shared" si="14"/>
        <v>#DIV/0!</v>
      </c>
      <c r="Y220" s="48"/>
      <c r="Z220" s="33"/>
    </row>
    <row r="221" spans="1:26" ht="12.7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4"/>
      <c r="P221" s="45"/>
      <c r="Q221" s="5"/>
      <c r="R221" s="5"/>
      <c r="S221" s="5"/>
      <c r="T221" s="5"/>
      <c r="U221" s="10">
        <f t="shared" si="15"/>
        <v>209</v>
      </c>
      <c r="V221" s="30" t="e">
        <f t="shared" si="12"/>
        <v>#DIV/0!</v>
      </c>
      <c r="W221" s="14" t="e">
        <f t="shared" si="13"/>
        <v>#DIV/0!</v>
      </c>
      <c r="X221" s="14" t="e">
        <f t="shared" si="14"/>
        <v>#DIV/0!</v>
      </c>
      <c r="Y221" s="48"/>
      <c r="Z221" s="33"/>
    </row>
    <row r="222" spans="1:26" ht="12.7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4"/>
      <c r="P222" s="45"/>
      <c r="Q222" s="5"/>
      <c r="R222" s="5"/>
      <c r="S222" s="5"/>
      <c r="T222" s="5"/>
      <c r="U222" s="10">
        <f t="shared" si="15"/>
        <v>210</v>
      </c>
      <c r="V222" s="30" t="e">
        <f t="shared" si="12"/>
        <v>#DIV/0!</v>
      </c>
      <c r="W222" s="14" t="e">
        <f t="shared" si="13"/>
        <v>#DIV/0!</v>
      </c>
      <c r="X222" s="14" t="e">
        <f t="shared" si="14"/>
        <v>#DIV/0!</v>
      </c>
      <c r="Y222" s="48"/>
      <c r="Z222" s="33"/>
    </row>
    <row r="223" spans="1:26" ht="12.7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4"/>
      <c r="P223" s="45"/>
      <c r="Q223" s="5"/>
      <c r="R223" s="5"/>
      <c r="S223" s="5"/>
      <c r="T223" s="5"/>
      <c r="U223" s="10">
        <f t="shared" si="15"/>
        <v>211</v>
      </c>
      <c r="V223" s="30" t="e">
        <f t="shared" si="12"/>
        <v>#DIV/0!</v>
      </c>
      <c r="W223" s="14" t="e">
        <f t="shared" si="13"/>
        <v>#DIV/0!</v>
      </c>
      <c r="X223" s="14" t="e">
        <f t="shared" si="14"/>
        <v>#DIV/0!</v>
      </c>
      <c r="Y223" s="48"/>
      <c r="Z223" s="33"/>
    </row>
    <row r="224" spans="1:26" ht="12.7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4"/>
      <c r="P224" s="45"/>
      <c r="Q224" s="5"/>
      <c r="R224" s="5"/>
      <c r="S224" s="5"/>
      <c r="T224" s="5"/>
      <c r="U224" s="10">
        <f t="shared" si="15"/>
        <v>212</v>
      </c>
      <c r="V224" s="30" t="e">
        <f t="shared" si="12"/>
        <v>#DIV/0!</v>
      </c>
      <c r="W224" s="14" t="e">
        <f t="shared" si="13"/>
        <v>#DIV/0!</v>
      </c>
      <c r="X224" s="14" t="e">
        <f t="shared" si="14"/>
        <v>#DIV/0!</v>
      </c>
      <c r="Y224" s="48"/>
      <c r="Z224" s="33"/>
    </row>
    <row r="225" spans="1:26" ht="12.7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4"/>
      <c r="P225" s="45"/>
      <c r="Q225" s="5"/>
      <c r="R225" s="5"/>
      <c r="S225" s="5"/>
      <c r="T225" s="5"/>
      <c r="U225" s="10">
        <f t="shared" si="15"/>
        <v>213</v>
      </c>
      <c r="V225" s="30" t="e">
        <f t="shared" si="12"/>
        <v>#DIV/0!</v>
      </c>
      <c r="W225" s="14" t="e">
        <f t="shared" si="13"/>
        <v>#DIV/0!</v>
      </c>
      <c r="X225" s="14" t="e">
        <f t="shared" si="14"/>
        <v>#DIV/0!</v>
      </c>
      <c r="Y225" s="48"/>
      <c r="Z225" s="33"/>
    </row>
    <row r="226" spans="1:26" ht="12.7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4"/>
      <c r="P226" s="45"/>
      <c r="Q226" s="5"/>
      <c r="R226" s="5"/>
      <c r="S226" s="5"/>
      <c r="T226" s="5"/>
      <c r="U226" s="10">
        <f t="shared" si="15"/>
        <v>214</v>
      </c>
      <c r="V226" s="30" t="e">
        <f t="shared" si="12"/>
        <v>#DIV/0!</v>
      </c>
      <c r="W226" s="14" t="e">
        <f t="shared" si="13"/>
        <v>#DIV/0!</v>
      </c>
      <c r="X226" s="14" t="e">
        <f t="shared" si="14"/>
        <v>#DIV/0!</v>
      </c>
      <c r="Y226" s="48"/>
      <c r="Z226" s="33"/>
    </row>
    <row r="227" spans="1:26" ht="12.7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4"/>
      <c r="P227" s="45"/>
      <c r="Q227" s="5"/>
      <c r="R227" s="5"/>
      <c r="S227" s="5"/>
      <c r="T227" s="5"/>
      <c r="U227" s="10">
        <f t="shared" si="15"/>
        <v>215</v>
      </c>
      <c r="V227" s="30" t="e">
        <f t="shared" si="12"/>
        <v>#DIV/0!</v>
      </c>
      <c r="W227" s="14" t="e">
        <f t="shared" si="13"/>
        <v>#DIV/0!</v>
      </c>
      <c r="X227" s="14" t="e">
        <f t="shared" si="14"/>
        <v>#DIV/0!</v>
      </c>
      <c r="Y227" s="48"/>
      <c r="Z227" s="33"/>
    </row>
    <row r="228" spans="1:26" ht="12.7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4"/>
      <c r="P228" s="45"/>
      <c r="Q228" s="5"/>
      <c r="R228" s="5"/>
      <c r="S228" s="5"/>
      <c r="T228" s="5"/>
      <c r="U228" s="10">
        <f t="shared" si="15"/>
        <v>216</v>
      </c>
      <c r="V228" s="30" t="e">
        <f t="shared" si="12"/>
        <v>#DIV/0!</v>
      </c>
      <c r="W228" s="14" t="e">
        <f t="shared" si="13"/>
        <v>#DIV/0!</v>
      </c>
      <c r="X228" s="14" t="e">
        <f t="shared" si="14"/>
        <v>#DIV/0!</v>
      </c>
      <c r="Y228" s="48"/>
      <c r="Z228" s="33"/>
    </row>
    <row r="229" spans="1:26" ht="12.7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4"/>
      <c r="P229" s="45"/>
      <c r="Q229" s="5"/>
      <c r="R229" s="5"/>
      <c r="S229" s="5"/>
      <c r="T229" s="5"/>
      <c r="U229" s="10">
        <f t="shared" si="15"/>
        <v>217</v>
      </c>
      <c r="V229" s="30" t="e">
        <f t="shared" si="12"/>
        <v>#DIV/0!</v>
      </c>
      <c r="W229" s="14" t="e">
        <f t="shared" si="13"/>
        <v>#DIV/0!</v>
      </c>
      <c r="X229" s="14" t="e">
        <f t="shared" si="14"/>
        <v>#DIV/0!</v>
      </c>
      <c r="Y229" s="48"/>
      <c r="Z229" s="33"/>
    </row>
    <row r="230" spans="1:26" ht="12.7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4"/>
      <c r="P230" s="45"/>
      <c r="Q230" s="5"/>
      <c r="R230" s="5"/>
      <c r="S230" s="5"/>
      <c r="T230" s="5"/>
      <c r="U230" s="10">
        <f t="shared" si="15"/>
        <v>218</v>
      </c>
      <c r="V230" s="30" t="e">
        <f t="shared" si="12"/>
        <v>#DIV/0!</v>
      </c>
      <c r="W230" s="14" t="e">
        <f t="shared" si="13"/>
        <v>#DIV/0!</v>
      </c>
      <c r="X230" s="14" t="e">
        <f t="shared" si="14"/>
        <v>#DIV/0!</v>
      </c>
      <c r="Y230" s="48"/>
      <c r="Z230" s="33"/>
    </row>
    <row r="231" spans="1:26" ht="12.7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4"/>
      <c r="P231" s="45"/>
      <c r="Q231" s="5"/>
      <c r="R231" s="5"/>
      <c r="S231" s="5"/>
      <c r="T231" s="5"/>
      <c r="U231" s="10">
        <f t="shared" si="15"/>
        <v>219</v>
      </c>
      <c r="V231" s="30" t="e">
        <f t="shared" si="12"/>
        <v>#DIV/0!</v>
      </c>
      <c r="W231" s="14" t="e">
        <f t="shared" si="13"/>
        <v>#DIV/0!</v>
      </c>
      <c r="X231" s="14" t="e">
        <f t="shared" si="14"/>
        <v>#DIV/0!</v>
      </c>
      <c r="Y231" s="48"/>
      <c r="Z231" s="33"/>
    </row>
    <row r="232" spans="1:26" ht="12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4"/>
      <c r="P232" s="45"/>
      <c r="Q232" s="5"/>
      <c r="R232" s="5"/>
      <c r="S232" s="5"/>
      <c r="T232" s="5"/>
      <c r="U232" s="10">
        <f t="shared" si="15"/>
        <v>220</v>
      </c>
      <c r="V232" s="30" t="e">
        <f t="shared" si="12"/>
        <v>#DIV/0!</v>
      </c>
      <c r="W232" s="14" t="e">
        <f t="shared" si="13"/>
        <v>#DIV/0!</v>
      </c>
      <c r="X232" s="14" t="e">
        <f t="shared" si="14"/>
        <v>#DIV/0!</v>
      </c>
      <c r="Y232" s="48"/>
      <c r="Z232" s="33"/>
    </row>
    <row r="233" spans="1:26" ht="12.7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4"/>
      <c r="P233" s="45"/>
      <c r="Q233" s="5"/>
      <c r="R233" s="5"/>
      <c r="S233" s="5"/>
      <c r="T233" s="5"/>
      <c r="U233" s="10">
        <f t="shared" si="15"/>
        <v>221</v>
      </c>
      <c r="V233" s="30" t="e">
        <f t="shared" si="12"/>
        <v>#DIV/0!</v>
      </c>
      <c r="W233" s="14" t="e">
        <f t="shared" si="13"/>
        <v>#DIV/0!</v>
      </c>
      <c r="X233" s="14" t="e">
        <f t="shared" si="14"/>
        <v>#DIV/0!</v>
      </c>
      <c r="Y233" s="48"/>
      <c r="Z233" s="33"/>
    </row>
    <row r="234" spans="1:26" ht="12.7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4"/>
      <c r="P234" s="45"/>
      <c r="Q234" s="5"/>
      <c r="R234" s="5"/>
      <c r="S234" s="5"/>
      <c r="T234" s="5"/>
      <c r="U234" s="10">
        <f t="shared" si="15"/>
        <v>222</v>
      </c>
      <c r="V234" s="30" t="e">
        <f t="shared" si="12"/>
        <v>#DIV/0!</v>
      </c>
      <c r="W234" s="14" t="e">
        <f t="shared" si="13"/>
        <v>#DIV/0!</v>
      </c>
      <c r="X234" s="14" t="e">
        <f t="shared" si="14"/>
        <v>#DIV/0!</v>
      </c>
      <c r="Y234" s="48"/>
      <c r="Z234" s="33"/>
    </row>
    <row r="235" spans="1:26" ht="12.7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4"/>
      <c r="P235" s="45"/>
      <c r="Q235" s="5"/>
      <c r="R235" s="5"/>
      <c r="S235" s="5"/>
      <c r="T235" s="5"/>
      <c r="U235" s="10">
        <f t="shared" si="15"/>
        <v>223</v>
      </c>
      <c r="V235" s="30" t="e">
        <f t="shared" si="12"/>
        <v>#DIV/0!</v>
      </c>
      <c r="W235" s="14" t="e">
        <f t="shared" si="13"/>
        <v>#DIV/0!</v>
      </c>
      <c r="X235" s="14" t="e">
        <f t="shared" si="14"/>
        <v>#DIV/0!</v>
      </c>
      <c r="Y235" s="48"/>
      <c r="Z235" s="33"/>
    </row>
    <row r="236" spans="1:26" ht="12.7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4"/>
      <c r="P236" s="45"/>
      <c r="Q236" s="5"/>
      <c r="R236" s="5"/>
      <c r="S236" s="5"/>
      <c r="T236" s="5"/>
      <c r="U236" s="10">
        <f t="shared" si="15"/>
        <v>224</v>
      </c>
      <c r="V236" s="30" t="e">
        <f t="shared" si="12"/>
        <v>#DIV/0!</v>
      </c>
      <c r="W236" s="14" t="e">
        <f t="shared" si="13"/>
        <v>#DIV/0!</v>
      </c>
      <c r="X236" s="14" t="e">
        <f t="shared" si="14"/>
        <v>#DIV/0!</v>
      </c>
      <c r="Y236" s="48"/>
      <c r="Z236" s="33"/>
    </row>
    <row r="237" spans="1:26" ht="12.7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4"/>
      <c r="P237" s="45"/>
      <c r="Q237" s="5"/>
      <c r="R237" s="5"/>
      <c r="S237" s="5"/>
      <c r="T237" s="5"/>
      <c r="U237" s="10">
        <f t="shared" si="15"/>
        <v>225</v>
      </c>
      <c r="V237" s="30" t="e">
        <f t="shared" si="12"/>
        <v>#DIV/0!</v>
      </c>
      <c r="W237" s="14" t="e">
        <f t="shared" si="13"/>
        <v>#DIV/0!</v>
      </c>
      <c r="X237" s="14" t="e">
        <f t="shared" si="14"/>
        <v>#DIV/0!</v>
      </c>
      <c r="Y237" s="48"/>
      <c r="Z237" s="33"/>
    </row>
    <row r="238" spans="1:26" ht="12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4"/>
      <c r="P238" s="45"/>
      <c r="Q238" s="5"/>
      <c r="R238" s="5"/>
      <c r="S238" s="5"/>
      <c r="T238" s="5"/>
      <c r="U238" s="10">
        <f t="shared" si="15"/>
        <v>226</v>
      </c>
      <c r="V238" s="30" t="e">
        <f t="shared" si="12"/>
        <v>#DIV/0!</v>
      </c>
      <c r="W238" s="14" t="e">
        <f t="shared" si="13"/>
        <v>#DIV/0!</v>
      </c>
      <c r="X238" s="14" t="e">
        <f t="shared" si="14"/>
        <v>#DIV/0!</v>
      </c>
      <c r="Y238" s="48"/>
      <c r="Z238" s="33"/>
    </row>
    <row r="239" spans="1:26" ht="12.7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4"/>
      <c r="P239" s="45"/>
      <c r="Q239" s="5"/>
      <c r="R239" s="5"/>
      <c r="S239" s="5"/>
      <c r="T239" s="5"/>
      <c r="U239" s="10">
        <f t="shared" si="15"/>
        <v>227</v>
      </c>
      <c r="V239" s="30" t="e">
        <f t="shared" si="12"/>
        <v>#DIV/0!</v>
      </c>
      <c r="W239" s="14" t="e">
        <f t="shared" si="13"/>
        <v>#DIV/0!</v>
      </c>
      <c r="X239" s="14" t="e">
        <f t="shared" si="14"/>
        <v>#DIV/0!</v>
      </c>
      <c r="Y239" s="48"/>
      <c r="Z239" s="33"/>
    </row>
    <row r="240" spans="1:26" ht="12.7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4"/>
      <c r="P240" s="45"/>
      <c r="Q240" s="5"/>
      <c r="R240" s="5"/>
      <c r="S240" s="5"/>
      <c r="T240" s="5"/>
      <c r="U240" s="10">
        <f t="shared" si="15"/>
        <v>228</v>
      </c>
      <c r="V240" s="30" t="e">
        <f t="shared" si="12"/>
        <v>#DIV/0!</v>
      </c>
      <c r="W240" s="14" t="e">
        <f t="shared" si="13"/>
        <v>#DIV/0!</v>
      </c>
      <c r="X240" s="14" t="e">
        <f t="shared" si="14"/>
        <v>#DIV/0!</v>
      </c>
      <c r="Y240" s="48"/>
      <c r="Z240" s="33"/>
    </row>
    <row r="241" spans="1:26" ht="12.7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4"/>
      <c r="P241" s="45"/>
      <c r="Q241" s="5"/>
      <c r="R241" s="5"/>
      <c r="S241" s="5"/>
      <c r="T241" s="5"/>
      <c r="U241" s="10">
        <f t="shared" si="15"/>
        <v>229</v>
      </c>
      <c r="V241" s="30" t="e">
        <f t="shared" si="12"/>
        <v>#DIV/0!</v>
      </c>
      <c r="W241" s="14" t="e">
        <f t="shared" si="13"/>
        <v>#DIV/0!</v>
      </c>
      <c r="X241" s="14" t="e">
        <f t="shared" si="14"/>
        <v>#DIV/0!</v>
      </c>
      <c r="Y241" s="48"/>
      <c r="Z241" s="33"/>
    </row>
    <row r="242" spans="1:26" ht="12.7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4"/>
      <c r="P242" s="45"/>
      <c r="Q242" s="5"/>
      <c r="R242" s="5"/>
      <c r="S242" s="5"/>
      <c r="T242" s="5"/>
      <c r="U242" s="10">
        <f t="shared" si="15"/>
        <v>230</v>
      </c>
      <c r="V242" s="30" t="e">
        <f t="shared" si="12"/>
        <v>#DIV/0!</v>
      </c>
      <c r="W242" s="14" t="e">
        <f t="shared" si="13"/>
        <v>#DIV/0!</v>
      </c>
      <c r="X242" s="14" t="e">
        <f t="shared" si="14"/>
        <v>#DIV/0!</v>
      </c>
      <c r="Y242" s="48"/>
      <c r="Z242" s="33"/>
    </row>
    <row r="243" spans="1:26" ht="12.7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4"/>
      <c r="P243" s="45"/>
      <c r="Q243" s="5"/>
      <c r="R243" s="5"/>
      <c r="S243" s="5"/>
      <c r="T243" s="5"/>
      <c r="U243" s="10">
        <f t="shared" si="15"/>
        <v>231</v>
      </c>
      <c r="V243" s="30" t="e">
        <f t="shared" si="12"/>
        <v>#DIV/0!</v>
      </c>
      <c r="W243" s="14" t="e">
        <f t="shared" si="13"/>
        <v>#DIV/0!</v>
      </c>
      <c r="X243" s="14" t="e">
        <f t="shared" si="14"/>
        <v>#DIV/0!</v>
      </c>
      <c r="Y243" s="48"/>
      <c r="Z243" s="33"/>
    </row>
    <row r="244" spans="1:26" ht="12.7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4"/>
      <c r="P244" s="45"/>
      <c r="Q244" s="5"/>
      <c r="R244" s="5"/>
      <c r="S244" s="5"/>
      <c r="T244" s="5"/>
      <c r="U244" s="10">
        <f t="shared" si="15"/>
        <v>232</v>
      </c>
      <c r="V244" s="30" t="e">
        <f t="shared" si="12"/>
        <v>#DIV/0!</v>
      </c>
      <c r="W244" s="14" t="e">
        <f t="shared" si="13"/>
        <v>#DIV/0!</v>
      </c>
      <c r="X244" s="14" t="e">
        <f t="shared" si="14"/>
        <v>#DIV/0!</v>
      </c>
      <c r="Y244" s="48"/>
      <c r="Z244" s="33"/>
    </row>
    <row r="245" spans="1:26" ht="12.7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4"/>
      <c r="P245" s="45"/>
      <c r="Q245" s="5"/>
      <c r="R245" s="5"/>
      <c r="S245" s="5"/>
      <c r="T245" s="5"/>
      <c r="U245" s="10">
        <f t="shared" si="15"/>
        <v>233</v>
      </c>
      <c r="V245" s="30" t="e">
        <f t="shared" si="12"/>
        <v>#DIV/0!</v>
      </c>
      <c r="W245" s="14" t="e">
        <f t="shared" si="13"/>
        <v>#DIV/0!</v>
      </c>
      <c r="X245" s="14" t="e">
        <f t="shared" si="14"/>
        <v>#DIV/0!</v>
      </c>
      <c r="Y245" s="48"/>
      <c r="Z245" s="33"/>
    </row>
    <row r="246" spans="1:26" ht="12.7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4"/>
      <c r="P246" s="45"/>
      <c r="Q246" s="5"/>
      <c r="R246" s="5"/>
      <c r="S246" s="5"/>
      <c r="T246" s="5"/>
      <c r="U246" s="10">
        <f t="shared" si="15"/>
        <v>234</v>
      </c>
      <c r="V246" s="30" t="e">
        <f t="shared" si="12"/>
        <v>#DIV/0!</v>
      </c>
      <c r="W246" s="14" t="e">
        <f t="shared" si="13"/>
        <v>#DIV/0!</v>
      </c>
      <c r="X246" s="14" t="e">
        <f t="shared" si="14"/>
        <v>#DIV/0!</v>
      </c>
      <c r="Y246" s="48"/>
      <c r="Z246" s="33"/>
    </row>
    <row r="247" spans="1:26" ht="12.7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4"/>
      <c r="P247" s="45"/>
      <c r="Q247" s="5"/>
      <c r="R247" s="5"/>
      <c r="S247" s="5"/>
      <c r="T247" s="5"/>
      <c r="U247" s="10">
        <f t="shared" si="15"/>
        <v>235</v>
      </c>
      <c r="V247" s="30" t="e">
        <f t="shared" si="12"/>
        <v>#DIV/0!</v>
      </c>
      <c r="W247" s="14" t="e">
        <f t="shared" si="13"/>
        <v>#DIV/0!</v>
      </c>
      <c r="X247" s="14" t="e">
        <f t="shared" si="14"/>
        <v>#DIV/0!</v>
      </c>
      <c r="Y247" s="48"/>
      <c r="Z247" s="33"/>
    </row>
    <row r="248" spans="1:26" ht="12.7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4"/>
      <c r="P248" s="45"/>
      <c r="Q248" s="5"/>
      <c r="R248" s="5"/>
      <c r="S248" s="5"/>
      <c r="T248" s="5"/>
      <c r="U248" s="10">
        <f t="shared" si="15"/>
        <v>236</v>
      </c>
      <c r="V248" s="30" t="e">
        <f t="shared" si="12"/>
        <v>#DIV/0!</v>
      </c>
      <c r="W248" s="14" t="e">
        <f t="shared" si="13"/>
        <v>#DIV/0!</v>
      </c>
      <c r="X248" s="14" t="e">
        <f t="shared" si="14"/>
        <v>#DIV/0!</v>
      </c>
      <c r="Y248" s="48"/>
      <c r="Z248" s="33"/>
    </row>
    <row r="249" spans="1:26" ht="12.7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4"/>
      <c r="P249" s="45"/>
      <c r="Q249" s="5"/>
      <c r="R249" s="5"/>
      <c r="S249" s="5"/>
      <c r="T249" s="5"/>
      <c r="U249" s="10">
        <f t="shared" si="15"/>
        <v>237</v>
      </c>
      <c r="V249" s="30" t="e">
        <f t="shared" si="12"/>
        <v>#DIV/0!</v>
      </c>
      <c r="W249" s="14" t="e">
        <f t="shared" si="13"/>
        <v>#DIV/0!</v>
      </c>
      <c r="X249" s="14" t="e">
        <f t="shared" si="14"/>
        <v>#DIV/0!</v>
      </c>
      <c r="Y249" s="48"/>
      <c r="Z249" s="33"/>
    </row>
    <row r="250" spans="1:26" ht="12.7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4"/>
      <c r="P250" s="45"/>
      <c r="Q250" s="5"/>
      <c r="R250" s="5"/>
      <c r="S250" s="5"/>
      <c r="T250" s="5"/>
      <c r="U250" s="10">
        <f t="shared" si="15"/>
        <v>238</v>
      </c>
      <c r="V250" s="30" t="e">
        <f t="shared" si="12"/>
        <v>#DIV/0!</v>
      </c>
      <c r="W250" s="14" t="e">
        <f t="shared" si="13"/>
        <v>#DIV/0!</v>
      </c>
      <c r="X250" s="14" t="e">
        <f t="shared" si="14"/>
        <v>#DIV/0!</v>
      </c>
      <c r="Y250" s="48"/>
      <c r="Z250" s="33"/>
    </row>
    <row r="251" spans="1:26" ht="12.7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4"/>
      <c r="P251" s="45"/>
      <c r="Q251" s="5"/>
      <c r="R251" s="5"/>
      <c r="S251" s="5"/>
      <c r="T251" s="5"/>
      <c r="U251" s="10">
        <f t="shared" si="15"/>
        <v>239</v>
      </c>
      <c r="V251" s="30" t="e">
        <f t="shared" si="12"/>
        <v>#DIV/0!</v>
      </c>
      <c r="W251" s="14" t="e">
        <f t="shared" si="13"/>
        <v>#DIV/0!</v>
      </c>
      <c r="X251" s="14" t="e">
        <f t="shared" si="14"/>
        <v>#DIV/0!</v>
      </c>
      <c r="Y251" s="48"/>
      <c r="Z251" s="33"/>
    </row>
    <row r="252" spans="1:26" ht="12.7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4"/>
      <c r="P252" s="45"/>
      <c r="Q252" s="5"/>
      <c r="R252" s="5"/>
      <c r="S252" s="5"/>
      <c r="T252" s="5"/>
      <c r="U252" s="10">
        <f t="shared" si="15"/>
        <v>240</v>
      </c>
      <c r="V252" s="30" t="e">
        <f t="shared" si="12"/>
        <v>#DIV/0!</v>
      </c>
      <c r="W252" s="14" t="e">
        <f t="shared" si="13"/>
        <v>#DIV/0!</v>
      </c>
      <c r="X252" s="14" t="e">
        <f t="shared" si="14"/>
        <v>#DIV/0!</v>
      </c>
      <c r="Y252" s="48"/>
      <c r="Z252" s="33"/>
    </row>
    <row r="253" spans="1:26" ht="12.7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4"/>
      <c r="P253" s="45"/>
      <c r="Q253" s="5"/>
      <c r="R253" s="5"/>
      <c r="S253" s="5"/>
      <c r="T253" s="5"/>
      <c r="U253" s="10">
        <f t="shared" si="15"/>
        <v>241</v>
      </c>
      <c r="V253" s="30" t="e">
        <f t="shared" si="12"/>
        <v>#DIV/0!</v>
      </c>
      <c r="W253" s="14" t="e">
        <f t="shared" si="13"/>
        <v>#DIV/0!</v>
      </c>
      <c r="X253" s="14" t="e">
        <f t="shared" si="14"/>
        <v>#DIV/0!</v>
      </c>
      <c r="Y253" s="48"/>
      <c r="Z253" s="33"/>
    </row>
    <row r="254" spans="1:26" ht="12.7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4"/>
      <c r="P254" s="45"/>
      <c r="Q254" s="5"/>
      <c r="R254" s="5"/>
      <c r="S254" s="5"/>
      <c r="T254" s="5"/>
      <c r="U254" s="10">
        <f t="shared" si="15"/>
        <v>242</v>
      </c>
      <c r="V254" s="30" t="e">
        <f t="shared" si="12"/>
        <v>#DIV/0!</v>
      </c>
      <c r="W254" s="14" t="e">
        <f t="shared" si="13"/>
        <v>#DIV/0!</v>
      </c>
      <c r="X254" s="14" t="e">
        <f t="shared" si="14"/>
        <v>#DIV/0!</v>
      </c>
      <c r="Y254" s="48"/>
      <c r="Z254" s="33"/>
    </row>
    <row r="255" spans="1:26" ht="12.7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4"/>
      <c r="P255" s="45"/>
      <c r="Q255" s="5"/>
      <c r="R255" s="5"/>
      <c r="S255" s="5"/>
      <c r="T255" s="5"/>
      <c r="U255" s="10">
        <f t="shared" si="15"/>
        <v>243</v>
      </c>
      <c r="V255" s="30" t="e">
        <f t="shared" si="12"/>
        <v>#DIV/0!</v>
      </c>
      <c r="W255" s="14" t="e">
        <f t="shared" si="13"/>
        <v>#DIV/0!</v>
      </c>
      <c r="X255" s="14" t="e">
        <f t="shared" si="14"/>
        <v>#DIV/0!</v>
      </c>
      <c r="Y255" s="48"/>
      <c r="Z255" s="33"/>
    </row>
    <row r="256" spans="1:26" ht="12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4"/>
      <c r="P256" s="45"/>
      <c r="Q256" s="5"/>
      <c r="R256" s="5"/>
      <c r="S256" s="5"/>
      <c r="T256" s="5"/>
      <c r="U256" s="10">
        <f t="shared" si="15"/>
        <v>244</v>
      </c>
      <c r="V256" s="30" t="e">
        <f t="shared" si="12"/>
        <v>#DIV/0!</v>
      </c>
      <c r="W256" s="14" t="e">
        <f t="shared" si="13"/>
        <v>#DIV/0!</v>
      </c>
      <c r="X256" s="14" t="e">
        <f t="shared" si="14"/>
        <v>#DIV/0!</v>
      </c>
      <c r="Y256" s="48"/>
      <c r="Z256" s="33"/>
    </row>
    <row r="257" spans="1:26" ht="12.7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4"/>
      <c r="P257" s="45"/>
      <c r="Q257" s="5"/>
      <c r="R257" s="5"/>
      <c r="S257" s="5"/>
      <c r="T257" s="5"/>
      <c r="U257" s="10">
        <f t="shared" si="15"/>
        <v>245</v>
      </c>
      <c r="V257" s="30" t="e">
        <f t="shared" si="12"/>
        <v>#DIV/0!</v>
      </c>
      <c r="W257" s="14" t="e">
        <f t="shared" si="13"/>
        <v>#DIV/0!</v>
      </c>
      <c r="X257" s="14" t="e">
        <f t="shared" si="14"/>
        <v>#DIV/0!</v>
      </c>
      <c r="Y257" s="48"/>
      <c r="Z257" s="33"/>
    </row>
    <row r="258" spans="1:26" ht="12.7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4"/>
      <c r="P258" s="45"/>
      <c r="Q258" s="5"/>
      <c r="R258" s="5"/>
      <c r="S258" s="5"/>
      <c r="T258" s="5"/>
      <c r="U258" s="10">
        <f t="shared" si="15"/>
        <v>246</v>
      </c>
      <c r="V258" s="30" t="e">
        <f t="shared" si="12"/>
        <v>#DIV/0!</v>
      </c>
      <c r="W258" s="14" t="e">
        <f t="shared" si="13"/>
        <v>#DIV/0!</v>
      </c>
      <c r="X258" s="14" t="e">
        <f t="shared" si="14"/>
        <v>#DIV/0!</v>
      </c>
      <c r="Y258" s="48"/>
      <c r="Z258" s="33"/>
    </row>
    <row r="259" spans="1:26" ht="12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4"/>
      <c r="P259" s="45"/>
      <c r="Q259" s="5"/>
      <c r="R259" s="5"/>
      <c r="S259" s="5"/>
      <c r="T259" s="5"/>
      <c r="U259" s="10">
        <f t="shared" si="15"/>
        <v>247</v>
      </c>
      <c r="V259" s="30" t="e">
        <f t="shared" si="12"/>
        <v>#DIV/0!</v>
      </c>
      <c r="W259" s="14" t="e">
        <f t="shared" si="13"/>
        <v>#DIV/0!</v>
      </c>
      <c r="X259" s="14" t="e">
        <f t="shared" si="14"/>
        <v>#DIV/0!</v>
      </c>
      <c r="Y259" s="48"/>
      <c r="Z259" s="33"/>
    </row>
    <row r="260" spans="1:26" ht="12.7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4"/>
      <c r="P260" s="45"/>
      <c r="Q260" s="5"/>
      <c r="R260" s="5"/>
      <c r="S260" s="5"/>
      <c r="T260" s="5"/>
      <c r="U260" s="10">
        <f t="shared" si="15"/>
        <v>248</v>
      </c>
      <c r="V260" s="30" t="e">
        <f t="shared" si="12"/>
        <v>#DIV/0!</v>
      </c>
      <c r="W260" s="14" t="e">
        <f t="shared" si="13"/>
        <v>#DIV/0!</v>
      </c>
      <c r="X260" s="14" t="e">
        <f t="shared" si="14"/>
        <v>#DIV/0!</v>
      </c>
      <c r="Y260" s="48"/>
      <c r="Z260" s="33"/>
    </row>
    <row r="261" spans="1:26" ht="12.7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4"/>
      <c r="P261" s="45"/>
      <c r="Q261" s="5"/>
      <c r="R261" s="5"/>
      <c r="S261" s="5"/>
      <c r="T261" s="5"/>
      <c r="U261" s="10">
        <f t="shared" si="15"/>
        <v>249</v>
      </c>
      <c r="V261" s="30" t="e">
        <f t="shared" si="12"/>
        <v>#DIV/0!</v>
      </c>
      <c r="W261" s="14" t="e">
        <f t="shared" si="13"/>
        <v>#DIV/0!</v>
      </c>
      <c r="X261" s="14" t="e">
        <f t="shared" si="14"/>
        <v>#DIV/0!</v>
      </c>
      <c r="Y261" s="48"/>
      <c r="Z261" s="33"/>
    </row>
    <row r="262" spans="1:26" ht="12.7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4"/>
      <c r="P262" s="45"/>
      <c r="Q262" s="5"/>
      <c r="R262" s="5"/>
      <c r="S262" s="5"/>
      <c r="T262" s="5"/>
      <c r="U262" s="10">
        <f t="shared" si="15"/>
        <v>250</v>
      </c>
      <c r="V262" s="30" t="e">
        <f t="shared" si="12"/>
        <v>#DIV/0!</v>
      </c>
      <c r="W262" s="14" t="e">
        <f t="shared" si="13"/>
        <v>#DIV/0!</v>
      </c>
      <c r="X262" s="14" t="e">
        <f t="shared" si="14"/>
        <v>#DIV/0!</v>
      </c>
      <c r="Y262" s="48"/>
      <c r="Z262" s="33"/>
    </row>
    <row r="263" spans="1:26" ht="12.7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4"/>
      <c r="P263" s="45"/>
      <c r="Q263" s="5"/>
      <c r="R263" s="5"/>
      <c r="S263" s="5"/>
      <c r="T263" s="5"/>
      <c r="U263" s="10">
        <f t="shared" si="15"/>
        <v>251</v>
      </c>
      <c r="V263" s="30" t="e">
        <f t="shared" si="12"/>
        <v>#DIV/0!</v>
      </c>
      <c r="W263" s="14" t="e">
        <f t="shared" si="13"/>
        <v>#DIV/0!</v>
      </c>
      <c r="X263" s="14" t="e">
        <f t="shared" si="14"/>
        <v>#DIV/0!</v>
      </c>
      <c r="Y263" s="48"/>
      <c r="Z263" s="33"/>
    </row>
    <row r="264" spans="1:26" ht="12.7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4"/>
      <c r="P264" s="45"/>
      <c r="Q264" s="5"/>
      <c r="R264" s="5"/>
      <c r="S264" s="5"/>
      <c r="T264" s="5"/>
      <c r="U264" s="10">
        <f t="shared" si="15"/>
        <v>252</v>
      </c>
      <c r="V264" s="30" t="e">
        <f t="shared" si="12"/>
        <v>#DIV/0!</v>
      </c>
      <c r="W264" s="14" t="e">
        <f t="shared" si="13"/>
        <v>#DIV/0!</v>
      </c>
      <c r="X264" s="14" t="e">
        <f t="shared" si="14"/>
        <v>#DIV/0!</v>
      </c>
      <c r="Y264" s="48"/>
      <c r="Z264" s="33"/>
    </row>
    <row r="265" spans="1:26" ht="12.7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4"/>
      <c r="P265" s="45"/>
      <c r="Q265" s="5"/>
      <c r="R265" s="5"/>
      <c r="S265" s="5"/>
      <c r="T265" s="5"/>
      <c r="U265" s="10">
        <f t="shared" si="15"/>
        <v>253</v>
      </c>
      <c r="V265" s="30" t="e">
        <f t="shared" si="12"/>
        <v>#DIV/0!</v>
      </c>
      <c r="W265" s="14" t="e">
        <f t="shared" si="13"/>
        <v>#DIV/0!</v>
      </c>
      <c r="X265" s="14" t="e">
        <f t="shared" si="14"/>
        <v>#DIV/0!</v>
      </c>
      <c r="Y265" s="48"/>
      <c r="Z265" s="33"/>
    </row>
    <row r="266" spans="1:26" ht="12.7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4"/>
      <c r="P266" s="45"/>
      <c r="Q266" s="5"/>
      <c r="R266" s="5"/>
      <c r="S266" s="5"/>
      <c r="T266" s="5"/>
      <c r="U266" s="10">
        <f t="shared" si="15"/>
        <v>254</v>
      </c>
      <c r="V266" s="30" t="e">
        <f t="shared" si="12"/>
        <v>#DIV/0!</v>
      </c>
      <c r="W266" s="14" t="e">
        <f t="shared" si="13"/>
        <v>#DIV/0!</v>
      </c>
      <c r="X266" s="14" t="e">
        <f t="shared" si="14"/>
        <v>#DIV/0!</v>
      </c>
      <c r="Y266" s="48"/>
      <c r="Z266" s="33"/>
    </row>
    <row r="267" spans="1:26" ht="12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4"/>
      <c r="P267" s="45"/>
      <c r="Q267" s="5"/>
      <c r="R267" s="5"/>
      <c r="S267" s="5"/>
      <c r="T267" s="5"/>
      <c r="U267" s="10">
        <f t="shared" si="15"/>
        <v>255</v>
      </c>
      <c r="V267" s="30" t="e">
        <f t="shared" si="12"/>
        <v>#DIV/0!</v>
      </c>
      <c r="W267" s="14" t="e">
        <f t="shared" si="13"/>
        <v>#DIV/0!</v>
      </c>
      <c r="X267" s="14" t="e">
        <f t="shared" si="14"/>
        <v>#DIV/0!</v>
      </c>
      <c r="Y267" s="48"/>
      <c r="Z267" s="33"/>
    </row>
    <row r="268" spans="1:26" ht="12.7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4"/>
      <c r="P268" s="45"/>
      <c r="Q268" s="5"/>
      <c r="R268" s="5"/>
      <c r="S268" s="5"/>
      <c r="T268" s="5"/>
      <c r="U268" s="10">
        <f t="shared" si="15"/>
        <v>256</v>
      </c>
      <c r="V268" s="30" t="e">
        <f aca="true" t="shared" si="16" ref="V268:V331">SQRT((W268-SLU_Half_Luff_a_x)^2+(X268-SLU_Half_Luff_a_y)^2)</f>
        <v>#DIV/0!</v>
      </c>
      <c r="W268" s="14" t="e">
        <f t="shared" si="13"/>
        <v>#DIV/0!</v>
      </c>
      <c r="X268" s="14" t="e">
        <f t="shared" si="14"/>
        <v>#DIV/0!</v>
      </c>
      <c r="Y268" s="48"/>
      <c r="Z268" s="33"/>
    </row>
    <row r="269" spans="1:26" ht="12.7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4"/>
      <c r="P269" s="45"/>
      <c r="Q269" s="5"/>
      <c r="R269" s="5"/>
      <c r="S269" s="5"/>
      <c r="T269" s="5"/>
      <c r="U269" s="10">
        <f t="shared" si="15"/>
        <v>257</v>
      </c>
      <c r="V269" s="30" t="e">
        <f t="shared" si="16"/>
        <v>#DIV/0!</v>
      </c>
      <c r="W269" s="14" t="e">
        <f aca="true" t="shared" si="17" ref="W269:W332">Start_for_int_x+U269*Step_Inc*COS(SLE_Mid_Luff_Angle_r)</f>
        <v>#DIV/0!</v>
      </c>
      <c r="X269" s="14" t="e">
        <f aca="true" t="shared" si="18" ref="X269:X332">Start_for_int_y+U269*Step_Inc*SIN(SLE_Mid_Luff_Angle_r)</f>
        <v>#DIV/0!</v>
      </c>
      <c r="Y269" s="48"/>
      <c r="Z269" s="33"/>
    </row>
    <row r="270" spans="1:26" ht="12.7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4"/>
      <c r="P270" s="45"/>
      <c r="Q270" s="5"/>
      <c r="R270" s="5"/>
      <c r="S270" s="5"/>
      <c r="T270" s="5"/>
      <c r="U270" s="10">
        <f aca="true" t="shared" si="19" ref="U270:U333">U269+1</f>
        <v>258</v>
      </c>
      <c r="V270" s="30" t="e">
        <f t="shared" si="16"/>
        <v>#DIV/0!</v>
      </c>
      <c r="W270" s="14" t="e">
        <f t="shared" si="17"/>
        <v>#DIV/0!</v>
      </c>
      <c r="X270" s="14" t="e">
        <f t="shared" si="18"/>
        <v>#DIV/0!</v>
      </c>
      <c r="Y270" s="48"/>
      <c r="Z270" s="33"/>
    </row>
    <row r="271" spans="1:26" ht="12.7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4"/>
      <c r="P271" s="45"/>
      <c r="Q271" s="5"/>
      <c r="R271" s="5"/>
      <c r="S271" s="5"/>
      <c r="T271" s="5"/>
      <c r="U271" s="10">
        <f t="shared" si="19"/>
        <v>259</v>
      </c>
      <c r="V271" s="30" t="e">
        <f t="shared" si="16"/>
        <v>#DIV/0!</v>
      </c>
      <c r="W271" s="14" t="e">
        <f t="shared" si="17"/>
        <v>#DIV/0!</v>
      </c>
      <c r="X271" s="14" t="e">
        <f t="shared" si="18"/>
        <v>#DIV/0!</v>
      </c>
      <c r="Y271" s="48"/>
      <c r="Z271" s="33"/>
    </row>
    <row r="272" spans="1:26" ht="12.7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4"/>
      <c r="P272" s="45"/>
      <c r="Q272" s="5"/>
      <c r="R272" s="5"/>
      <c r="S272" s="5"/>
      <c r="T272" s="5"/>
      <c r="U272" s="10">
        <f t="shared" si="19"/>
        <v>260</v>
      </c>
      <c r="V272" s="30" t="e">
        <f t="shared" si="16"/>
        <v>#DIV/0!</v>
      </c>
      <c r="W272" s="14" t="e">
        <f t="shared" si="17"/>
        <v>#DIV/0!</v>
      </c>
      <c r="X272" s="14" t="e">
        <f t="shared" si="18"/>
        <v>#DIV/0!</v>
      </c>
      <c r="Y272" s="48"/>
      <c r="Z272" s="33"/>
    </row>
    <row r="273" spans="1:26" ht="12.7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4"/>
      <c r="P273" s="45"/>
      <c r="Q273" s="5"/>
      <c r="R273" s="5"/>
      <c r="S273" s="5"/>
      <c r="T273" s="5"/>
      <c r="U273" s="10">
        <f t="shared" si="19"/>
        <v>261</v>
      </c>
      <c r="V273" s="30" t="e">
        <f t="shared" si="16"/>
        <v>#DIV/0!</v>
      </c>
      <c r="W273" s="14" t="e">
        <f t="shared" si="17"/>
        <v>#DIV/0!</v>
      </c>
      <c r="X273" s="14" t="e">
        <f t="shared" si="18"/>
        <v>#DIV/0!</v>
      </c>
      <c r="Y273" s="48"/>
      <c r="Z273" s="33"/>
    </row>
    <row r="274" spans="1:26" ht="12.7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4"/>
      <c r="P274" s="45"/>
      <c r="Q274" s="5"/>
      <c r="R274" s="5"/>
      <c r="S274" s="5"/>
      <c r="T274" s="5"/>
      <c r="U274" s="10">
        <f t="shared" si="19"/>
        <v>262</v>
      </c>
      <c r="V274" s="30" t="e">
        <f t="shared" si="16"/>
        <v>#DIV/0!</v>
      </c>
      <c r="W274" s="14" t="e">
        <f t="shared" si="17"/>
        <v>#DIV/0!</v>
      </c>
      <c r="X274" s="14" t="e">
        <f t="shared" si="18"/>
        <v>#DIV/0!</v>
      </c>
      <c r="Y274" s="48"/>
      <c r="Z274" s="33"/>
    </row>
    <row r="275" spans="1:26" ht="12.7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4"/>
      <c r="P275" s="45"/>
      <c r="Q275" s="5"/>
      <c r="R275" s="5"/>
      <c r="S275" s="5"/>
      <c r="T275" s="5"/>
      <c r="U275" s="10">
        <f t="shared" si="19"/>
        <v>263</v>
      </c>
      <c r="V275" s="30" t="e">
        <f t="shared" si="16"/>
        <v>#DIV/0!</v>
      </c>
      <c r="W275" s="14" t="e">
        <f t="shared" si="17"/>
        <v>#DIV/0!</v>
      </c>
      <c r="X275" s="14" t="e">
        <f t="shared" si="18"/>
        <v>#DIV/0!</v>
      </c>
      <c r="Y275" s="48"/>
      <c r="Z275" s="33"/>
    </row>
    <row r="276" spans="1:26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4"/>
      <c r="P276" s="45"/>
      <c r="Q276" s="5"/>
      <c r="R276" s="5"/>
      <c r="S276" s="5"/>
      <c r="T276" s="5"/>
      <c r="U276" s="10">
        <f t="shared" si="19"/>
        <v>264</v>
      </c>
      <c r="V276" s="30" t="e">
        <f t="shared" si="16"/>
        <v>#DIV/0!</v>
      </c>
      <c r="W276" s="14" t="e">
        <f t="shared" si="17"/>
        <v>#DIV/0!</v>
      </c>
      <c r="X276" s="14" t="e">
        <f t="shared" si="18"/>
        <v>#DIV/0!</v>
      </c>
      <c r="Y276" s="48"/>
      <c r="Z276" s="33"/>
    </row>
    <row r="277" spans="1:26" ht="12.7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4"/>
      <c r="P277" s="45"/>
      <c r="Q277" s="5"/>
      <c r="R277" s="5"/>
      <c r="S277" s="5"/>
      <c r="T277" s="5"/>
      <c r="U277" s="10">
        <f t="shared" si="19"/>
        <v>265</v>
      </c>
      <c r="V277" s="30" t="e">
        <f t="shared" si="16"/>
        <v>#DIV/0!</v>
      </c>
      <c r="W277" s="14" t="e">
        <f t="shared" si="17"/>
        <v>#DIV/0!</v>
      </c>
      <c r="X277" s="14" t="e">
        <f t="shared" si="18"/>
        <v>#DIV/0!</v>
      </c>
      <c r="Y277" s="48"/>
      <c r="Z277" s="33"/>
    </row>
    <row r="278" spans="1:26" ht="12.7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4"/>
      <c r="P278" s="45"/>
      <c r="Q278" s="5"/>
      <c r="R278" s="5"/>
      <c r="S278" s="5"/>
      <c r="T278" s="5"/>
      <c r="U278" s="10">
        <f t="shared" si="19"/>
        <v>266</v>
      </c>
      <c r="V278" s="30" t="e">
        <f t="shared" si="16"/>
        <v>#DIV/0!</v>
      </c>
      <c r="W278" s="14" t="e">
        <f t="shared" si="17"/>
        <v>#DIV/0!</v>
      </c>
      <c r="X278" s="14" t="e">
        <f t="shared" si="18"/>
        <v>#DIV/0!</v>
      </c>
      <c r="Y278" s="48"/>
      <c r="Z278" s="33"/>
    </row>
    <row r="279" spans="1:26" ht="12.7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4"/>
      <c r="P279" s="45"/>
      <c r="Q279" s="5"/>
      <c r="R279" s="5"/>
      <c r="S279" s="5"/>
      <c r="T279" s="5"/>
      <c r="U279" s="10">
        <f t="shared" si="19"/>
        <v>267</v>
      </c>
      <c r="V279" s="30" t="e">
        <f t="shared" si="16"/>
        <v>#DIV/0!</v>
      </c>
      <c r="W279" s="14" t="e">
        <f t="shared" si="17"/>
        <v>#DIV/0!</v>
      </c>
      <c r="X279" s="14" t="e">
        <f t="shared" si="18"/>
        <v>#DIV/0!</v>
      </c>
      <c r="Y279" s="48"/>
      <c r="Z279" s="33"/>
    </row>
    <row r="280" spans="1:26" ht="12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4"/>
      <c r="P280" s="45"/>
      <c r="Q280" s="5"/>
      <c r="R280" s="5"/>
      <c r="S280" s="5"/>
      <c r="T280" s="5"/>
      <c r="U280" s="10">
        <f t="shared" si="19"/>
        <v>268</v>
      </c>
      <c r="V280" s="30" t="e">
        <f t="shared" si="16"/>
        <v>#DIV/0!</v>
      </c>
      <c r="W280" s="14" t="e">
        <f t="shared" si="17"/>
        <v>#DIV/0!</v>
      </c>
      <c r="X280" s="14" t="e">
        <f t="shared" si="18"/>
        <v>#DIV/0!</v>
      </c>
      <c r="Y280" s="48"/>
      <c r="Z280" s="33"/>
    </row>
    <row r="281" spans="1:26" ht="12.7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4"/>
      <c r="P281" s="45"/>
      <c r="Q281" s="5"/>
      <c r="R281" s="5"/>
      <c r="S281" s="5"/>
      <c r="T281" s="5"/>
      <c r="U281" s="10">
        <f t="shared" si="19"/>
        <v>269</v>
      </c>
      <c r="V281" s="30" t="e">
        <f t="shared" si="16"/>
        <v>#DIV/0!</v>
      </c>
      <c r="W281" s="14" t="e">
        <f t="shared" si="17"/>
        <v>#DIV/0!</v>
      </c>
      <c r="X281" s="14" t="e">
        <f t="shared" si="18"/>
        <v>#DIV/0!</v>
      </c>
      <c r="Y281" s="48"/>
      <c r="Z281" s="33"/>
    </row>
    <row r="282" spans="1:26" ht="12.7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4"/>
      <c r="P282" s="45"/>
      <c r="Q282" s="5"/>
      <c r="R282" s="5"/>
      <c r="S282" s="5"/>
      <c r="T282" s="5"/>
      <c r="U282" s="10">
        <f t="shared" si="19"/>
        <v>270</v>
      </c>
      <c r="V282" s="30" t="e">
        <f t="shared" si="16"/>
        <v>#DIV/0!</v>
      </c>
      <c r="W282" s="14" t="e">
        <f t="shared" si="17"/>
        <v>#DIV/0!</v>
      </c>
      <c r="X282" s="14" t="e">
        <f t="shared" si="18"/>
        <v>#DIV/0!</v>
      </c>
      <c r="Y282" s="48"/>
      <c r="Z282" s="33"/>
    </row>
    <row r="283" spans="1:26" ht="12.7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4"/>
      <c r="P283" s="45"/>
      <c r="Q283" s="5"/>
      <c r="R283" s="5"/>
      <c r="S283" s="5"/>
      <c r="T283" s="5"/>
      <c r="U283" s="10">
        <f t="shared" si="19"/>
        <v>271</v>
      </c>
      <c r="V283" s="30" t="e">
        <f t="shared" si="16"/>
        <v>#DIV/0!</v>
      </c>
      <c r="W283" s="14" t="e">
        <f t="shared" si="17"/>
        <v>#DIV/0!</v>
      </c>
      <c r="X283" s="14" t="e">
        <f t="shared" si="18"/>
        <v>#DIV/0!</v>
      </c>
      <c r="Y283" s="48"/>
      <c r="Z283" s="33"/>
    </row>
    <row r="284" spans="1:26" ht="12.7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4"/>
      <c r="P284" s="45"/>
      <c r="Q284" s="5"/>
      <c r="R284" s="5"/>
      <c r="S284" s="5"/>
      <c r="T284" s="5"/>
      <c r="U284" s="10">
        <f t="shared" si="19"/>
        <v>272</v>
      </c>
      <c r="V284" s="30" t="e">
        <f t="shared" si="16"/>
        <v>#DIV/0!</v>
      </c>
      <c r="W284" s="14" t="e">
        <f t="shared" si="17"/>
        <v>#DIV/0!</v>
      </c>
      <c r="X284" s="14" t="e">
        <f t="shared" si="18"/>
        <v>#DIV/0!</v>
      </c>
      <c r="Y284" s="48"/>
      <c r="Z284" s="33"/>
    </row>
    <row r="285" spans="1:26" ht="12.7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4"/>
      <c r="P285" s="45"/>
      <c r="Q285" s="5"/>
      <c r="R285" s="5"/>
      <c r="S285" s="5"/>
      <c r="T285" s="5"/>
      <c r="U285" s="10">
        <f t="shared" si="19"/>
        <v>273</v>
      </c>
      <c r="V285" s="30" t="e">
        <f t="shared" si="16"/>
        <v>#DIV/0!</v>
      </c>
      <c r="W285" s="14" t="e">
        <f t="shared" si="17"/>
        <v>#DIV/0!</v>
      </c>
      <c r="X285" s="14" t="e">
        <f t="shared" si="18"/>
        <v>#DIV/0!</v>
      </c>
      <c r="Y285" s="48"/>
      <c r="Z285" s="33"/>
    </row>
    <row r="286" spans="1:26" ht="12.7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4"/>
      <c r="P286" s="45"/>
      <c r="Q286" s="5"/>
      <c r="R286" s="5"/>
      <c r="S286" s="5"/>
      <c r="T286" s="5"/>
      <c r="U286" s="10">
        <f t="shared" si="19"/>
        <v>274</v>
      </c>
      <c r="V286" s="30" t="e">
        <f t="shared" si="16"/>
        <v>#DIV/0!</v>
      </c>
      <c r="W286" s="14" t="e">
        <f t="shared" si="17"/>
        <v>#DIV/0!</v>
      </c>
      <c r="X286" s="14" t="e">
        <f t="shared" si="18"/>
        <v>#DIV/0!</v>
      </c>
      <c r="Y286" s="48"/>
      <c r="Z286" s="33"/>
    </row>
    <row r="287" spans="1:26" ht="12.7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4"/>
      <c r="P287" s="45"/>
      <c r="Q287" s="5"/>
      <c r="R287" s="5"/>
      <c r="S287" s="5"/>
      <c r="T287" s="5"/>
      <c r="U287" s="10">
        <f t="shared" si="19"/>
        <v>275</v>
      </c>
      <c r="V287" s="30" t="e">
        <f t="shared" si="16"/>
        <v>#DIV/0!</v>
      </c>
      <c r="W287" s="14" t="e">
        <f t="shared" si="17"/>
        <v>#DIV/0!</v>
      </c>
      <c r="X287" s="14" t="e">
        <f t="shared" si="18"/>
        <v>#DIV/0!</v>
      </c>
      <c r="Y287" s="48"/>
      <c r="Z287" s="33"/>
    </row>
    <row r="288" spans="1:26" ht="12.7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4"/>
      <c r="P288" s="45"/>
      <c r="Q288" s="5"/>
      <c r="R288" s="5"/>
      <c r="S288" s="5"/>
      <c r="T288" s="5"/>
      <c r="U288" s="10">
        <f t="shared" si="19"/>
        <v>276</v>
      </c>
      <c r="V288" s="30" t="e">
        <f t="shared" si="16"/>
        <v>#DIV/0!</v>
      </c>
      <c r="W288" s="14" t="e">
        <f t="shared" si="17"/>
        <v>#DIV/0!</v>
      </c>
      <c r="X288" s="14" t="e">
        <f t="shared" si="18"/>
        <v>#DIV/0!</v>
      </c>
      <c r="Y288" s="48"/>
      <c r="Z288" s="33"/>
    </row>
    <row r="289" spans="1:26" ht="12.7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4"/>
      <c r="P289" s="45"/>
      <c r="Q289" s="5"/>
      <c r="R289" s="5"/>
      <c r="S289" s="5"/>
      <c r="T289" s="5"/>
      <c r="U289" s="10">
        <f t="shared" si="19"/>
        <v>277</v>
      </c>
      <c r="V289" s="30" t="e">
        <f t="shared" si="16"/>
        <v>#DIV/0!</v>
      </c>
      <c r="W289" s="14" t="e">
        <f t="shared" si="17"/>
        <v>#DIV/0!</v>
      </c>
      <c r="X289" s="14" t="e">
        <f t="shared" si="18"/>
        <v>#DIV/0!</v>
      </c>
      <c r="Y289" s="48"/>
      <c r="Z289" s="33"/>
    </row>
    <row r="290" spans="1:26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4"/>
      <c r="P290" s="45"/>
      <c r="Q290" s="5"/>
      <c r="R290" s="5"/>
      <c r="S290" s="5"/>
      <c r="T290" s="5"/>
      <c r="U290" s="10">
        <f t="shared" si="19"/>
        <v>278</v>
      </c>
      <c r="V290" s="30" t="e">
        <f t="shared" si="16"/>
        <v>#DIV/0!</v>
      </c>
      <c r="W290" s="14" t="e">
        <f t="shared" si="17"/>
        <v>#DIV/0!</v>
      </c>
      <c r="X290" s="14" t="e">
        <f t="shared" si="18"/>
        <v>#DIV/0!</v>
      </c>
      <c r="Y290" s="48"/>
      <c r="Z290" s="33"/>
    </row>
    <row r="291" spans="1:26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4"/>
      <c r="P291" s="45"/>
      <c r="Q291" s="5"/>
      <c r="R291" s="5"/>
      <c r="S291" s="5"/>
      <c r="T291" s="5"/>
      <c r="U291" s="10">
        <f t="shared" si="19"/>
        <v>279</v>
      </c>
      <c r="V291" s="30" t="e">
        <f t="shared" si="16"/>
        <v>#DIV/0!</v>
      </c>
      <c r="W291" s="14" t="e">
        <f t="shared" si="17"/>
        <v>#DIV/0!</v>
      </c>
      <c r="X291" s="14" t="e">
        <f t="shared" si="18"/>
        <v>#DIV/0!</v>
      </c>
      <c r="Y291" s="48"/>
      <c r="Z291" s="33"/>
    </row>
    <row r="292" spans="1:26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4"/>
      <c r="P292" s="45"/>
      <c r="Q292" s="5"/>
      <c r="R292" s="5"/>
      <c r="S292" s="5"/>
      <c r="T292" s="5"/>
      <c r="U292" s="10">
        <f t="shared" si="19"/>
        <v>280</v>
      </c>
      <c r="V292" s="30" t="e">
        <f t="shared" si="16"/>
        <v>#DIV/0!</v>
      </c>
      <c r="W292" s="14" t="e">
        <f t="shared" si="17"/>
        <v>#DIV/0!</v>
      </c>
      <c r="X292" s="14" t="e">
        <f t="shared" si="18"/>
        <v>#DIV/0!</v>
      </c>
      <c r="Y292" s="48"/>
      <c r="Z292" s="33"/>
    </row>
    <row r="293" spans="1:26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4"/>
      <c r="P293" s="45"/>
      <c r="Q293" s="5"/>
      <c r="R293" s="5"/>
      <c r="S293" s="5"/>
      <c r="T293" s="5"/>
      <c r="U293" s="10">
        <f t="shared" si="19"/>
        <v>281</v>
      </c>
      <c r="V293" s="30" t="e">
        <f t="shared" si="16"/>
        <v>#DIV/0!</v>
      </c>
      <c r="W293" s="14" t="e">
        <f t="shared" si="17"/>
        <v>#DIV/0!</v>
      </c>
      <c r="X293" s="14" t="e">
        <f t="shared" si="18"/>
        <v>#DIV/0!</v>
      </c>
      <c r="Y293" s="48"/>
      <c r="Z293" s="33"/>
    </row>
    <row r="294" spans="1:26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4"/>
      <c r="P294" s="45"/>
      <c r="Q294" s="5"/>
      <c r="R294" s="5"/>
      <c r="S294" s="5"/>
      <c r="T294" s="5"/>
      <c r="U294" s="10">
        <f t="shared" si="19"/>
        <v>282</v>
      </c>
      <c r="V294" s="30" t="e">
        <f t="shared" si="16"/>
        <v>#DIV/0!</v>
      </c>
      <c r="W294" s="14" t="e">
        <f t="shared" si="17"/>
        <v>#DIV/0!</v>
      </c>
      <c r="X294" s="14" t="e">
        <f t="shared" si="18"/>
        <v>#DIV/0!</v>
      </c>
      <c r="Y294" s="48"/>
      <c r="Z294" s="33"/>
    </row>
    <row r="295" spans="1:26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4"/>
      <c r="P295" s="45"/>
      <c r="Q295" s="5"/>
      <c r="R295" s="5"/>
      <c r="S295" s="5"/>
      <c r="T295" s="5"/>
      <c r="U295" s="10">
        <f t="shared" si="19"/>
        <v>283</v>
      </c>
      <c r="V295" s="30" t="e">
        <f t="shared" si="16"/>
        <v>#DIV/0!</v>
      </c>
      <c r="W295" s="14" t="e">
        <f t="shared" si="17"/>
        <v>#DIV/0!</v>
      </c>
      <c r="X295" s="14" t="e">
        <f t="shared" si="18"/>
        <v>#DIV/0!</v>
      </c>
      <c r="Y295" s="48"/>
      <c r="Z295" s="33"/>
    </row>
    <row r="296" spans="1:26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4"/>
      <c r="P296" s="45"/>
      <c r="Q296" s="5"/>
      <c r="R296" s="5"/>
      <c r="S296" s="5"/>
      <c r="T296" s="5"/>
      <c r="U296" s="10">
        <f t="shared" si="19"/>
        <v>284</v>
      </c>
      <c r="V296" s="30" t="e">
        <f t="shared" si="16"/>
        <v>#DIV/0!</v>
      </c>
      <c r="W296" s="14" t="e">
        <f t="shared" si="17"/>
        <v>#DIV/0!</v>
      </c>
      <c r="X296" s="14" t="e">
        <f t="shared" si="18"/>
        <v>#DIV/0!</v>
      </c>
      <c r="Y296" s="48"/>
      <c r="Z296" s="33"/>
    </row>
    <row r="297" spans="1:26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4"/>
      <c r="P297" s="45"/>
      <c r="Q297" s="5"/>
      <c r="R297" s="5"/>
      <c r="S297" s="5"/>
      <c r="T297" s="5"/>
      <c r="U297" s="10">
        <f t="shared" si="19"/>
        <v>285</v>
      </c>
      <c r="V297" s="30" t="e">
        <f t="shared" si="16"/>
        <v>#DIV/0!</v>
      </c>
      <c r="W297" s="14" t="e">
        <f t="shared" si="17"/>
        <v>#DIV/0!</v>
      </c>
      <c r="X297" s="14" t="e">
        <f t="shared" si="18"/>
        <v>#DIV/0!</v>
      </c>
      <c r="Y297" s="48"/>
      <c r="Z297" s="33"/>
    </row>
    <row r="298" spans="1:26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4"/>
      <c r="P298" s="45"/>
      <c r="Q298" s="5"/>
      <c r="R298" s="5"/>
      <c r="S298" s="5"/>
      <c r="T298" s="5"/>
      <c r="U298" s="10">
        <f t="shared" si="19"/>
        <v>286</v>
      </c>
      <c r="V298" s="30" t="e">
        <f t="shared" si="16"/>
        <v>#DIV/0!</v>
      </c>
      <c r="W298" s="14" t="e">
        <f t="shared" si="17"/>
        <v>#DIV/0!</v>
      </c>
      <c r="X298" s="14" t="e">
        <f t="shared" si="18"/>
        <v>#DIV/0!</v>
      </c>
      <c r="Y298" s="48"/>
      <c r="Z298" s="33"/>
    </row>
    <row r="299" spans="1:26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4"/>
      <c r="P299" s="45"/>
      <c r="Q299" s="5"/>
      <c r="R299" s="5"/>
      <c r="S299" s="5"/>
      <c r="T299" s="5"/>
      <c r="U299" s="10">
        <f t="shared" si="19"/>
        <v>287</v>
      </c>
      <c r="V299" s="30" t="e">
        <f t="shared" si="16"/>
        <v>#DIV/0!</v>
      </c>
      <c r="W299" s="14" t="e">
        <f t="shared" si="17"/>
        <v>#DIV/0!</v>
      </c>
      <c r="X299" s="14" t="e">
        <f t="shared" si="18"/>
        <v>#DIV/0!</v>
      </c>
      <c r="Y299" s="48"/>
      <c r="Z299" s="33"/>
    </row>
    <row r="300" spans="1:26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4"/>
      <c r="P300" s="45"/>
      <c r="Q300" s="5"/>
      <c r="R300" s="5"/>
      <c r="S300" s="5"/>
      <c r="T300" s="5"/>
      <c r="U300" s="10">
        <f t="shared" si="19"/>
        <v>288</v>
      </c>
      <c r="V300" s="30" t="e">
        <f t="shared" si="16"/>
        <v>#DIV/0!</v>
      </c>
      <c r="W300" s="14" t="e">
        <f t="shared" si="17"/>
        <v>#DIV/0!</v>
      </c>
      <c r="X300" s="14" t="e">
        <f t="shared" si="18"/>
        <v>#DIV/0!</v>
      </c>
      <c r="Y300" s="48"/>
      <c r="Z300" s="33"/>
    </row>
    <row r="301" spans="1:26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4"/>
      <c r="P301" s="45"/>
      <c r="Q301" s="5"/>
      <c r="R301" s="5"/>
      <c r="S301" s="5"/>
      <c r="T301" s="5"/>
      <c r="U301" s="10">
        <f t="shared" si="19"/>
        <v>289</v>
      </c>
      <c r="V301" s="30" t="e">
        <f t="shared" si="16"/>
        <v>#DIV/0!</v>
      </c>
      <c r="W301" s="14" t="e">
        <f t="shared" si="17"/>
        <v>#DIV/0!</v>
      </c>
      <c r="X301" s="14" t="e">
        <f t="shared" si="18"/>
        <v>#DIV/0!</v>
      </c>
      <c r="Y301" s="48"/>
      <c r="Z301" s="33"/>
    </row>
    <row r="302" spans="1:26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4"/>
      <c r="P302" s="45"/>
      <c r="Q302" s="5"/>
      <c r="R302" s="5"/>
      <c r="S302" s="5"/>
      <c r="T302" s="5"/>
      <c r="U302" s="10">
        <f t="shared" si="19"/>
        <v>290</v>
      </c>
      <c r="V302" s="30" t="e">
        <f t="shared" si="16"/>
        <v>#DIV/0!</v>
      </c>
      <c r="W302" s="14" t="e">
        <f t="shared" si="17"/>
        <v>#DIV/0!</v>
      </c>
      <c r="X302" s="14" t="e">
        <f t="shared" si="18"/>
        <v>#DIV/0!</v>
      </c>
      <c r="Y302" s="48"/>
      <c r="Z302" s="33"/>
    </row>
    <row r="303" spans="1:26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4"/>
      <c r="P303" s="45"/>
      <c r="Q303" s="5"/>
      <c r="R303" s="5"/>
      <c r="S303" s="5"/>
      <c r="T303" s="5"/>
      <c r="U303" s="10">
        <f t="shared" si="19"/>
        <v>291</v>
      </c>
      <c r="V303" s="30" t="e">
        <f t="shared" si="16"/>
        <v>#DIV/0!</v>
      </c>
      <c r="W303" s="14" t="e">
        <f t="shared" si="17"/>
        <v>#DIV/0!</v>
      </c>
      <c r="X303" s="14" t="e">
        <f t="shared" si="18"/>
        <v>#DIV/0!</v>
      </c>
      <c r="Y303" s="48"/>
      <c r="Z303" s="33"/>
    </row>
    <row r="304" spans="1:26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4"/>
      <c r="P304" s="45"/>
      <c r="Q304" s="5"/>
      <c r="R304" s="5"/>
      <c r="S304" s="5"/>
      <c r="T304" s="5"/>
      <c r="U304" s="10">
        <f t="shared" si="19"/>
        <v>292</v>
      </c>
      <c r="V304" s="30" t="e">
        <f t="shared" si="16"/>
        <v>#DIV/0!</v>
      </c>
      <c r="W304" s="14" t="e">
        <f t="shared" si="17"/>
        <v>#DIV/0!</v>
      </c>
      <c r="X304" s="14" t="e">
        <f t="shared" si="18"/>
        <v>#DIV/0!</v>
      </c>
      <c r="Y304" s="48"/>
      <c r="Z304" s="33"/>
    </row>
    <row r="305" spans="1:26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4"/>
      <c r="P305" s="45"/>
      <c r="Q305" s="5"/>
      <c r="R305" s="5"/>
      <c r="S305" s="5"/>
      <c r="T305" s="5"/>
      <c r="U305" s="10">
        <f t="shared" si="19"/>
        <v>293</v>
      </c>
      <c r="V305" s="30" t="e">
        <f t="shared" si="16"/>
        <v>#DIV/0!</v>
      </c>
      <c r="W305" s="14" t="e">
        <f t="shared" si="17"/>
        <v>#DIV/0!</v>
      </c>
      <c r="X305" s="14" t="e">
        <f t="shared" si="18"/>
        <v>#DIV/0!</v>
      </c>
      <c r="Y305" s="48"/>
      <c r="Z305" s="33"/>
    </row>
    <row r="306" spans="1:26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4"/>
      <c r="P306" s="45"/>
      <c r="Q306" s="5"/>
      <c r="R306" s="5"/>
      <c r="S306" s="5"/>
      <c r="T306" s="5"/>
      <c r="U306" s="10">
        <f t="shared" si="19"/>
        <v>294</v>
      </c>
      <c r="V306" s="30" t="e">
        <f t="shared" si="16"/>
        <v>#DIV/0!</v>
      </c>
      <c r="W306" s="14" t="e">
        <f t="shared" si="17"/>
        <v>#DIV/0!</v>
      </c>
      <c r="X306" s="14" t="e">
        <f t="shared" si="18"/>
        <v>#DIV/0!</v>
      </c>
      <c r="Y306" s="48"/>
      <c r="Z306" s="33"/>
    </row>
    <row r="307" spans="1:26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4"/>
      <c r="P307" s="45"/>
      <c r="Q307" s="5"/>
      <c r="R307" s="5"/>
      <c r="S307" s="5"/>
      <c r="T307" s="5"/>
      <c r="U307" s="10">
        <f t="shared" si="19"/>
        <v>295</v>
      </c>
      <c r="V307" s="30" t="e">
        <f t="shared" si="16"/>
        <v>#DIV/0!</v>
      </c>
      <c r="W307" s="14" t="e">
        <f t="shared" si="17"/>
        <v>#DIV/0!</v>
      </c>
      <c r="X307" s="14" t="e">
        <f t="shared" si="18"/>
        <v>#DIV/0!</v>
      </c>
      <c r="Y307" s="48"/>
      <c r="Z307" s="33"/>
    </row>
    <row r="308" spans="1:26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4"/>
      <c r="P308" s="45"/>
      <c r="Q308" s="5"/>
      <c r="R308" s="5"/>
      <c r="S308" s="5"/>
      <c r="T308" s="5"/>
      <c r="U308" s="10">
        <f t="shared" si="19"/>
        <v>296</v>
      </c>
      <c r="V308" s="30" t="e">
        <f t="shared" si="16"/>
        <v>#DIV/0!</v>
      </c>
      <c r="W308" s="14" t="e">
        <f t="shared" si="17"/>
        <v>#DIV/0!</v>
      </c>
      <c r="X308" s="14" t="e">
        <f t="shared" si="18"/>
        <v>#DIV/0!</v>
      </c>
      <c r="Y308" s="48"/>
      <c r="Z308" s="33"/>
    </row>
    <row r="309" spans="1:26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4"/>
      <c r="P309" s="45"/>
      <c r="Q309" s="5"/>
      <c r="R309" s="5"/>
      <c r="S309" s="5"/>
      <c r="T309" s="5"/>
      <c r="U309" s="10">
        <f t="shared" si="19"/>
        <v>297</v>
      </c>
      <c r="V309" s="30" t="e">
        <f t="shared" si="16"/>
        <v>#DIV/0!</v>
      </c>
      <c r="W309" s="14" t="e">
        <f t="shared" si="17"/>
        <v>#DIV/0!</v>
      </c>
      <c r="X309" s="14" t="e">
        <f t="shared" si="18"/>
        <v>#DIV/0!</v>
      </c>
      <c r="Y309" s="48"/>
      <c r="Z309" s="33"/>
    </row>
    <row r="310" spans="1:26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4"/>
      <c r="P310" s="45"/>
      <c r="Q310" s="5"/>
      <c r="R310" s="5"/>
      <c r="S310" s="5"/>
      <c r="T310" s="5"/>
      <c r="U310" s="10">
        <f t="shared" si="19"/>
        <v>298</v>
      </c>
      <c r="V310" s="30" t="e">
        <f t="shared" si="16"/>
        <v>#DIV/0!</v>
      </c>
      <c r="W310" s="14" t="e">
        <f t="shared" si="17"/>
        <v>#DIV/0!</v>
      </c>
      <c r="X310" s="14" t="e">
        <f t="shared" si="18"/>
        <v>#DIV/0!</v>
      </c>
      <c r="Y310" s="48"/>
      <c r="Z310" s="33"/>
    </row>
    <row r="311" spans="1:26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4"/>
      <c r="P311" s="45"/>
      <c r="Q311" s="5"/>
      <c r="R311" s="5"/>
      <c r="S311" s="5"/>
      <c r="T311" s="5"/>
      <c r="U311" s="10">
        <f t="shared" si="19"/>
        <v>299</v>
      </c>
      <c r="V311" s="30" t="e">
        <f t="shared" si="16"/>
        <v>#DIV/0!</v>
      </c>
      <c r="W311" s="14" t="e">
        <f t="shared" si="17"/>
        <v>#DIV/0!</v>
      </c>
      <c r="X311" s="14" t="e">
        <f t="shared" si="18"/>
        <v>#DIV/0!</v>
      </c>
      <c r="Y311" s="48"/>
      <c r="Z311" s="33"/>
    </row>
    <row r="312" spans="1:26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4"/>
      <c r="P312" s="45"/>
      <c r="Q312" s="5"/>
      <c r="R312" s="5"/>
      <c r="S312" s="5"/>
      <c r="T312" s="5"/>
      <c r="U312" s="10">
        <f t="shared" si="19"/>
        <v>300</v>
      </c>
      <c r="V312" s="30" t="e">
        <f t="shared" si="16"/>
        <v>#DIV/0!</v>
      </c>
      <c r="W312" s="14" t="e">
        <f t="shared" si="17"/>
        <v>#DIV/0!</v>
      </c>
      <c r="X312" s="14" t="e">
        <f t="shared" si="18"/>
        <v>#DIV/0!</v>
      </c>
      <c r="Y312" s="48"/>
      <c r="Z312" s="33"/>
    </row>
    <row r="313" spans="1:26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4"/>
      <c r="P313" s="45"/>
      <c r="Q313" s="5"/>
      <c r="R313" s="5"/>
      <c r="S313" s="5"/>
      <c r="T313" s="5"/>
      <c r="U313" s="10">
        <f t="shared" si="19"/>
        <v>301</v>
      </c>
      <c r="V313" s="30" t="e">
        <f t="shared" si="16"/>
        <v>#DIV/0!</v>
      </c>
      <c r="W313" s="14" t="e">
        <f t="shared" si="17"/>
        <v>#DIV/0!</v>
      </c>
      <c r="X313" s="14" t="e">
        <f t="shared" si="18"/>
        <v>#DIV/0!</v>
      </c>
      <c r="Y313" s="48"/>
      <c r="Z313" s="33"/>
    </row>
    <row r="314" spans="1:26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4"/>
      <c r="P314" s="45"/>
      <c r="Q314" s="5"/>
      <c r="R314" s="5"/>
      <c r="S314" s="5"/>
      <c r="T314" s="5"/>
      <c r="U314" s="10">
        <f t="shared" si="19"/>
        <v>302</v>
      </c>
      <c r="V314" s="30" t="e">
        <f t="shared" si="16"/>
        <v>#DIV/0!</v>
      </c>
      <c r="W314" s="14" t="e">
        <f t="shared" si="17"/>
        <v>#DIV/0!</v>
      </c>
      <c r="X314" s="14" t="e">
        <f t="shared" si="18"/>
        <v>#DIV/0!</v>
      </c>
      <c r="Y314" s="48"/>
      <c r="Z314" s="33"/>
    </row>
    <row r="315" spans="1:26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4"/>
      <c r="P315" s="45"/>
      <c r="Q315" s="5"/>
      <c r="R315" s="5"/>
      <c r="S315" s="5"/>
      <c r="T315" s="5"/>
      <c r="U315" s="10">
        <f t="shared" si="19"/>
        <v>303</v>
      </c>
      <c r="V315" s="30" t="e">
        <f t="shared" si="16"/>
        <v>#DIV/0!</v>
      </c>
      <c r="W315" s="14" t="e">
        <f t="shared" si="17"/>
        <v>#DIV/0!</v>
      </c>
      <c r="X315" s="14" t="e">
        <f t="shared" si="18"/>
        <v>#DIV/0!</v>
      </c>
      <c r="Y315" s="48"/>
      <c r="Z315" s="33"/>
    </row>
    <row r="316" spans="1:26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4"/>
      <c r="P316" s="45"/>
      <c r="Q316" s="5"/>
      <c r="R316" s="5"/>
      <c r="S316" s="5"/>
      <c r="T316" s="5"/>
      <c r="U316" s="10">
        <f t="shared" si="19"/>
        <v>304</v>
      </c>
      <c r="V316" s="30" t="e">
        <f t="shared" si="16"/>
        <v>#DIV/0!</v>
      </c>
      <c r="W316" s="14" t="e">
        <f t="shared" si="17"/>
        <v>#DIV/0!</v>
      </c>
      <c r="X316" s="14" t="e">
        <f t="shared" si="18"/>
        <v>#DIV/0!</v>
      </c>
      <c r="Y316" s="48"/>
      <c r="Z316" s="33"/>
    </row>
    <row r="317" spans="1:26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4"/>
      <c r="P317" s="45"/>
      <c r="Q317" s="5"/>
      <c r="R317" s="5"/>
      <c r="S317" s="5"/>
      <c r="T317" s="5"/>
      <c r="U317" s="10">
        <f t="shared" si="19"/>
        <v>305</v>
      </c>
      <c r="V317" s="30" t="e">
        <f t="shared" si="16"/>
        <v>#DIV/0!</v>
      </c>
      <c r="W317" s="14" t="e">
        <f t="shared" si="17"/>
        <v>#DIV/0!</v>
      </c>
      <c r="X317" s="14" t="e">
        <f t="shared" si="18"/>
        <v>#DIV/0!</v>
      </c>
      <c r="Y317" s="48"/>
      <c r="Z317" s="33"/>
    </row>
    <row r="318" spans="1:26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4"/>
      <c r="P318" s="45"/>
      <c r="Q318" s="5"/>
      <c r="R318" s="5"/>
      <c r="S318" s="5"/>
      <c r="T318" s="5"/>
      <c r="U318" s="10">
        <f t="shared" si="19"/>
        <v>306</v>
      </c>
      <c r="V318" s="30" t="e">
        <f t="shared" si="16"/>
        <v>#DIV/0!</v>
      </c>
      <c r="W318" s="14" t="e">
        <f t="shared" si="17"/>
        <v>#DIV/0!</v>
      </c>
      <c r="X318" s="14" t="e">
        <f t="shared" si="18"/>
        <v>#DIV/0!</v>
      </c>
      <c r="Y318" s="48"/>
      <c r="Z318" s="33"/>
    </row>
    <row r="319" spans="1:26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4"/>
      <c r="P319" s="45"/>
      <c r="Q319" s="5"/>
      <c r="R319" s="5"/>
      <c r="S319" s="5"/>
      <c r="T319" s="5"/>
      <c r="U319" s="10">
        <f t="shared" si="19"/>
        <v>307</v>
      </c>
      <c r="V319" s="30" t="e">
        <f t="shared" si="16"/>
        <v>#DIV/0!</v>
      </c>
      <c r="W319" s="14" t="e">
        <f t="shared" si="17"/>
        <v>#DIV/0!</v>
      </c>
      <c r="X319" s="14" t="e">
        <f t="shared" si="18"/>
        <v>#DIV/0!</v>
      </c>
      <c r="Y319" s="48"/>
      <c r="Z319" s="33"/>
    </row>
    <row r="320" spans="1:26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4"/>
      <c r="P320" s="45"/>
      <c r="Q320" s="5"/>
      <c r="R320" s="5"/>
      <c r="S320" s="5"/>
      <c r="T320" s="5"/>
      <c r="U320" s="10">
        <f t="shared" si="19"/>
        <v>308</v>
      </c>
      <c r="V320" s="30" t="e">
        <f t="shared" si="16"/>
        <v>#DIV/0!</v>
      </c>
      <c r="W320" s="14" t="e">
        <f t="shared" si="17"/>
        <v>#DIV/0!</v>
      </c>
      <c r="X320" s="14" t="e">
        <f t="shared" si="18"/>
        <v>#DIV/0!</v>
      </c>
      <c r="Y320" s="48"/>
      <c r="Z320" s="33"/>
    </row>
    <row r="321" spans="1:26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4"/>
      <c r="P321" s="45"/>
      <c r="Q321" s="5"/>
      <c r="R321" s="5"/>
      <c r="S321" s="5"/>
      <c r="T321" s="5"/>
      <c r="U321" s="10">
        <f t="shared" si="19"/>
        <v>309</v>
      </c>
      <c r="V321" s="30" t="e">
        <f t="shared" si="16"/>
        <v>#DIV/0!</v>
      </c>
      <c r="W321" s="14" t="e">
        <f t="shared" si="17"/>
        <v>#DIV/0!</v>
      </c>
      <c r="X321" s="14" t="e">
        <f t="shared" si="18"/>
        <v>#DIV/0!</v>
      </c>
      <c r="Y321" s="48"/>
      <c r="Z321" s="33"/>
    </row>
    <row r="322" spans="1:26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4"/>
      <c r="P322" s="45"/>
      <c r="Q322" s="5"/>
      <c r="R322" s="5"/>
      <c r="S322" s="5"/>
      <c r="T322" s="5"/>
      <c r="U322" s="10">
        <f t="shared" si="19"/>
        <v>310</v>
      </c>
      <c r="V322" s="30" t="e">
        <f t="shared" si="16"/>
        <v>#DIV/0!</v>
      </c>
      <c r="W322" s="14" t="e">
        <f t="shared" si="17"/>
        <v>#DIV/0!</v>
      </c>
      <c r="X322" s="14" t="e">
        <f t="shared" si="18"/>
        <v>#DIV/0!</v>
      </c>
      <c r="Y322" s="48"/>
      <c r="Z322" s="33"/>
    </row>
    <row r="323" spans="1:26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4"/>
      <c r="P323" s="45"/>
      <c r="Q323" s="5"/>
      <c r="R323" s="5"/>
      <c r="S323" s="5"/>
      <c r="T323" s="5"/>
      <c r="U323" s="10">
        <f t="shared" si="19"/>
        <v>311</v>
      </c>
      <c r="V323" s="30" t="e">
        <f t="shared" si="16"/>
        <v>#DIV/0!</v>
      </c>
      <c r="W323" s="14" t="e">
        <f t="shared" si="17"/>
        <v>#DIV/0!</v>
      </c>
      <c r="X323" s="14" t="e">
        <f t="shared" si="18"/>
        <v>#DIV/0!</v>
      </c>
      <c r="Y323" s="48"/>
      <c r="Z323" s="33"/>
    </row>
    <row r="324" spans="1:26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4"/>
      <c r="P324" s="45"/>
      <c r="Q324" s="5"/>
      <c r="R324" s="5"/>
      <c r="S324" s="5"/>
      <c r="T324" s="5"/>
      <c r="U324" s="10">
        <f t="shared" si="19"/>
        <v>312</v>
      </c>
      <c r="V324" s="30" t="e">
        <f t="shared" si="16"/>
        <v>#DIV/0!</v>
      </c>
      <c r="W324" s="14" t="e">
        <f t="shared" si="17"/>
        <v>#DIV/0!</v>
      </c>
      <c r="X324" s="14" t="e">
        <f t="shared" si="18"/>
        <v>#DIV/0!</v>
      </c>
      <c r="Y324" s="48"/>
      <c r="Z324" s="33"/>
    </row>
    <row r="325" spans="1:26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4"/>
      <c r="P325" s="45"/>
      <c r="Q325" s="5"/>
      <c r="R325" s="5"/>
      <c r="S325" s="5"/>
      <c r="T325" s="5"/>
      <c r="U325" s="10">
        <f t="shared" si="19"/>
        <v>313</v>
      </c>
      <c r="V325" s="30" t="e">
        <f t="shared" si="16"/>
        <v>#DIV/0!</v>
      </c>
      <c r="W325" s="14" t="e">
        <f t="shared" si="17"/>
        <v>#DIV/0!</v>
      </c>
      <c r="X325" s="14" t="e">
        <f t="shared" si="18"/>
        <v>#DIV/0!</v>
      </c>
      <c r="Y325" s="48"/>
      <c r="Z325" s="33"/>
    </row>
    <row r="326" spans="1:26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4"/>
      <c r="P326" s="45"/>
      <c r="Q326" s="5"/>
      <c r="R326" s="5"/>
      <c r="S326" s="5"/>
      <c r="T326" s="5"/>
      <c r="U326" s="10">
        <f t="shared" si="19"/>
        <v>314</v>
      </c>
      <c r="V326" s="30" t="e">
        <f t="shared" si="16"/>
        <v>#DIV/0!</v>
      </c>
      <c r="W326" s="14" t="e">
        <f t="shared" si="17"/>
        <v>#DIV/0!</v>
      </c>
      <c r="X326" s="14" t="e">
        <f t="shared" si="18"/>
        <v>#DIV/0!</v>
      </c>
      <c r="Y326" s="48"/>
      <c r="Z326" s="33"/>
    </row>
    <row r="327" spans="1:26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4"/>
      <c r="P327" s="45"/>
      <c r="Q327" s="5"/>
      <c r="R327" s="5"/>
      <c r="S327" s="5"/>
      <c r="T327" s="5"/>
      <c r="U327" s="10">
        <f t="shared" si="19"/>
        <v>315</v>
      </c>
      <c r="V327" s="30" t="e">
        <f t="shared" si="16"/>
        <v>#DIV/0!</v>
      </c>
      <c r="W327" s="14" t="e">
        <f t="shared" si="17"/>
        <v>#DIV/0!</v>
      </c>
      <c r="X327" s="14" t="e">
        <f t="shared" si="18"/>
        <v>#DIV/0!</v>
      </c>
      <c r="Y327" s="48"/>
      <c r="Z327" s="33"/>
    </row>
    <row r="328" spans="1:26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4"/>
      <c r="P328" s="45"/>
      <c r="Q328" s="5"/>
      <c r="R328" s="5"/>
      <c r="S328" s="5"/>
      <c r="T328" s="5"/>
      <c r="U328" s="10">
        <f t="shared" si="19"/>
        <v>316</v>
      </c>
      <c r="V328" s="30" t="e">
        <f t="shared" si="16"/>
        <v>#DIV/0!</v>
      </c>
      <c r="W328" s="14" t="e">
        <f t="shared" si="17"/>
        <v>#DIV/0!</v>
      </c>
      <c r="X328" s="14" t="e">
        <f t="shared" si="18"/>
        <v>#DIV/0!</v>
      </c>
      <c r="Y328" s="48"/>
      <c r="Z328" s="33"/>
    </row>
    <row r="329" spans="1:26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4"/>
      <c r="P329" s="45"/>
      <c r="Q329" s="5"/>
      <c r="R329" s="5"/>
      <c r="S329" s="5"/>
      <c r="T329" s="5"/>
      <c r="U329" s="10">
        <f t="shared" si="19"/>
        <v>317</v>
      </c>
      <c r="V329" s="30" t="e">
        <f t="shared" si="16"/>
        <v>#DIV/0!</v>
      </c>
      <c r="W329" s="14" t="e">
        <f t="shared" si="17"/>
        <v>#DIV/0!</v>
      </c>
      <c r="X329" s="14" t="e">
        <f t="shared" si="18"/>
        <v>#DIV/0!</v>
      </c>
      <c r="Y329" s="48"/>
      <c r="Z329" s="33"/>
    </row>
    <row r="330" spans="1:26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4"/>
      <c r="P330" s="45"/>
      <c r="Q330" s="5"/>
      <c r="R330" s="5"/>
      <c r="S330" s="5"/>
      <c r="T330" s="5"/>
      <c r="U330" s="10">
        <f t="shared" si="19"/>
        <v>318</v>
      </c>
      <c r="V330" s="30" t="e">
        <f t="shared" si="16"/>
        <v>#DIV/0!</v>
      </c>
      <c r="W330" s="14" t="e">
        <f t="shared" si="17"/>
        <v>#DIV/0!</v>
      </c>
      <c r="X330" s="14" t="e">
        <f t="shared" si="18"/>
        <v>#DIV/0!</v>
      </c>
      <c r="Y330" s="48"/>
      <c r="Z330" s="33"/>
    </row>
    <row r="331" spans="1:26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4"/>
      <c r="P331" s="45"/>
      <c r="Q331" s="5"/>
      <c r="R331" s="5"/>
      <c r="S331" s="5"/>
      <c r="T331" s="5"/>
      <c r="U331" s="10">
        <f t="shared" si="19"/>
        <v>319</v>
      </c>
      <c r="V331" s="30" t="e">
        <f t="shared" si="16"/>
        <v>#DIV/0!</v>
      </c>
      <c r="W331" s="14" t="e">
        <f t="shared" si="17"/>
        <v>#DIV/0!</v>
      </c>
      <c r="X331" s="14" t="e">
        <f t="shared" si="18"/>
        <v>#DIV/0!</v>
      </c>
      <c r="Y331" s="48"/>
      <c r="Z331" s="33"/>
    </row>
    <row r="332" spans="1:26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4"/>
      <c r="P332" s="45"/>
      <c r="Q332" s="5"/>
      <c r="R332" s="5"/>
      <c r="S332" s="5"/>
      <c r="T332" s="5"/>
      <c r="U332" s="10">
        <f t="shared" si="19"/>
        <v>320</v>
      </c>
      <c r="V332" s="30" t="e">
        <f aca="true" t="shared" si="20" ref="V332:V395">SQRT((W332-SLU_Half_Luff_a_x)^2+(X332-SLU_Half_Luff_a_y)^2)</f>
        <v>#DIV/0!</v>
      </c>
      <c r="W332" s="14" t="e">
        <f t="shared" si="17"/>
        <v>#DIV/0!</v>
      </c>
      <c r="X332" s="14" t="e">
        <f t="shared" si="18"/>
        <v>#DIV/0!</v>
      </c>
      <c r="Y332" s="48"/>
      <c r="Z332" s="33"/>
    </row>
    <row r="333" spans="1:26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4"/>
      <c r="P333" s="45"/>
      <c r="Q333" s="5"/>
      <c r="R333" s="5"/>
      <c r="S333" s="5"/>
      <c r="T333" s="5"/>
      <c r="U333" s="10">
        <f t="shared" si="19"/>
        <v>321</v>
      </c>
      <c r="V333" s="30" t="e">
        <f t="shared" si="20"/>
        <v>#DIV/0!</v>
      </c>
      <c r="W333" s="14" t="e">
        <f aca="true" t="shared" si="21" ref="W333:W396">Start_for_int_x+U333*Step_Inc*COS(SLE_Mid_Luff_Angle_r)</f>
        <v>#DIV/0!</v>
      </c>
      <c r="X333" s="14" t="e">
        <f aca="true" t="shared" si="22" ref="X333:X396">Start_for_int_y+U333*Step_Inc*SIN(SLE_Mid_Luff_Angle_r)</f>
        <v>#DIV/0!</v>
      </c>
      <c r="Y333" s="48"/>
      <c r="Z333" s="33"/>
    </row>
    <row r="334" spans="1:26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4"/>
      <c r="P334" s="45"/>
      <c r="Q334" s="5"/>
      <c r="R334" s="5"/>
      <c r="S334" s="5"/>
      <c r="T334" s="5"/>
      <c r="U334" s="10">
        <f aca="true" t="shared" si="23" ref="U334:U397">U333+1</f>
        <v>322</v>
      </c>
      <c r="V334" s="30" t="e">
        <f t="shared" si="20"/>
        <v>#DIV/0!</v>
      </c>
      <c r="W334" s="14" t="e">
        <f t="shared" si="21"/>
        <v>#DIV/0!</v>
      </c>
      <c r="X334" s="14" t="e">
        <f t="shared" si="22"/>
        <v>#DIV/0!</v>
      </c>
      <c r="Y334" s="48"/>
      <c r="Z334" s="33"/>
    </row>
    <row r="335" spans="1:26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4"/>
      <c r="P335" s="45"/>
      <c r="Q335" s="5"/>
      <c r="R335" s="5"/>
      <c r="S335" s="5"/>
      <c r="T335" s="5"/>
      <c r="U335" s="10">
        <f t="shared" si="23"/>
        <v>323</v>
      </c>
      <c r="V335" s="30" t="e">
        <f t="shared" si="20"/>
        <v>#DIV/0!</v>
      </c>
      <c r="W335" s="14" t="e">
        <f t="shared" si="21"/>
        <v>#DIV/0!</v>
      </c>
      <c r="X335" s="14" t="e">
        <f t="shared" si="22"/>
        <v>#DIV/0!</v>
      </c>
      <c r="Y335" s="48"/>
      <c r="Z335" s="33"/>
    </row>
    <row r="336" spans="1:26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4"/>
      <c r="P336" s="45"/>
      <c r="Q336" s="5"/>
      <c r="R336" s="5"/>
      <c r="S336" s="5"/>
      <c r="T336" s="5"/>
      <c r="U336" s="10">
        <f t="shared" si="23"/>
        <v>324</v>
      </c>
      <c r="V336" s="30" t="e">
        <f t="shared" si="20"/>
        <v>#DIV/0!</v>
      </c>
      <c r="W336" s="14" t="e">
        <f t="shared" si="21"/>
        <v>#DIV/0!</v>
      </c>
      <c r="X336" s="14" t="e">
        <f t="shared" si="22"/>
        <v>#DIV/0!</v>
      </c>
      <c r="Y336" s="48"/>
      <c r="Z336" s="33"/>
    </row>
    <row r="337" spans="1:26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4"/>
      <c r="P337" s="45"/>
      <c r="Q337" s="5"/>
      <c r="R337" s="5"/>
      <c r="S337" s="5"/>
      <c r="T337" s="5"/>
      <c r="U337" s="10">
        <f t="shared" si="23"/>
        <v>325</v>
      </c>
      <c r="V337" s="30" t="e">
        <f t="shared" si="20"/>
        <v>#DIV/0!</v>
      </c>
      <c r="W337" s="14" t="e">
        <f t="shared" si="21"/>
        <v>#DIV/0!</v>
      </c>
      <c r="X337" s="14" t="e">
        <f t="shared" si="22"/>
        <v>#DIV/0!</v>
      </c>
      <c r="Y337" s="48"/>
      <c r="Z337" s="33"/>
    </row>
    <row r="338" spans="1:26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4"/>
      <c r="P338" s="45"/>
      <c r="Q338" s="5"/>
      <c r="R338" s="5"/>
      <c r="S338" s="5"/>
      <c r="T338" s="5"/>
      <c r="U338" s="10">
        <f t="shared" si="23"/>
        <v>326</v>
      </c>
      <c r="V338" s="30" t="e">
        <f t="shared" si="20"/>
        <v>#DIV/0!</v>
      </c>
      <c r="W338" s="14" t="e">
        <f t="shared" si="21"/>
        <v>#DIV/0!</v>
      </c>
      <c r="X338" s="14" t="e">
        <f t="shared" si="22"/>
        <v>#DIV/0!</v>
      </c>
      <c r="Y338" s="48"/>
      <c r="Z338" s="33"/>
    </row>
    <row r="339" spans="1:26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4"/>
      <c r="P339" s="45"/>
      <c r="Q339" s="5"/>
      <c r="R339" s="5"/>
      <c r="S339" s="5"/>
      <c r="T339" s="5"/>
      <c r="U339" s="10">
        <f t="shared" si="23"/>
        <v>327</v>
      </c>
      <c r="V339" s="30" t="e">
        <f t="shared" si="20"/>
        <v>#DIV/0!</v>
      </c>
      <c r="W339" s="14" t="e">
        <f t="shared" si="21"/>
        <v>#DIV/0!</v>
      </c>
      <c r="X339" s="14" t="e">
        <f t="shared" si="22"/>
        <v>#DIV/0!</v>
      </c>
      <c r="Y339" s="48"/>
      <c r="Z339" s="33"/>
    </row>
    <row r="340" spans="1:26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4"/>
      <c r="P340" s="45"/>
      <c r="Q340" s="5"/>
      <c r="R340" s="5"/>
      <c r="S340" s="5"/>
      <c r="T340" s="5"/>
      <c r="U340" s="10">
        <f t="shared" si="23"/>
        <v>328</v>
      </c>
      <c r="V340" s="30" t="e">
        <f t="shared" si="20"/>
        <v>#DIV/0!</v>
      </c>
      <c r="W340" s="14" t="e">
        <f t="shared" si="21"/>
        <v>#DIV/0!</v>
      </c>
      <c r="X340" s="14" t="e">
        <f t="shared" si="22"/>
        <v>#DIV/0!</v>
      </c>
      <c r="Y340" s="48"/>
      <c r="Z340" s="33"/>
    </row>
    <row r="341" spans="1:26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4"/>
      <c r="P341" s="45"/>
      <c r="Q341" s="5"/>
      <c r="R341" s="5"/>
      <c r="S341" s="5"/>
      <c r="T341" s="5"/>
      <c r="U341" s="10">
        <f t="shared" si="23"/>
        <v>329</v>
      </c>
      <c r="V341" s="30" t="e">
        <f t="shared" si="20"/>
        <v>#DIV/0!</v>
      </c>
      <c r="W341" s="14" t="e">
        <f t="shared" si="21"/>
        <v>#DIV/0!</v>
      </c>
      <c r="X341" s="14" t="e">
        <f t="shared" si="22"/>
        <v>#DIV/0!</v>
      </c>
      <c r="Y341" s="48"/>
      <c r="Z341" s="33"/>
    </row>
    <row r="342" spans="1:26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4"/>
      <c r="P342" s="45"/>
      <c r="Q342" s="5"/>
      <c r="R342" s="5"/>
      <c r="S342" s="5"/>
      <c r="T342" s="5"/>
      <c r="U342" s="10">
        <f t="shared" si="23"/>
        <v>330</v>
      </c>
      <c r="V342" s="30" t="e">
        <f t="shared" si="20"/>
        <v>#DIV/0!</v>
      </c>
      <c r="W342" s="14" t="e">
        <f t="shared" si="21"/>
        <v>#DIV/0!</v>
      </c>
      <c r="X342" s="14" t="e">
        <f t="shared" si="22"/>
        <v>#DIV/0!</v>
      </c>
      <c r="Y342" s="48"/>
      <c r="Z342" s="33"/>
    </row>
    <row r="343" spans="1:26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4"/>
      <c r="P343" s="45"/>
      <c r="Q343" s="5"/>
      <c r="R343" s="5"/>
      <c r="S343" s="5"/>
      <c r="T343" s="5"/>
      <c r="U343" s="10">
        <f t="shared" si="23"/>
        <v>331</v>
      </c>
      <c r="V343" s="30" t="e">
        <f t="shared" si="20"/>
        <v>#DIV/0!</v>
      </c>
      <c r="W343" s="14" t="e">
        <f t="shared" si="21"/>
        <v>#DIV/0!</v>
      </c>
      <c r="X343" s="14" t="e">
        <f t="shared" si="22"/>
        <v>#DIV/0!</v>
      </c>
      <c r="Y343" s="48"/>
      <c r="Z343" s="33"/>
    </row>
    <row r="344" spans="1:26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4"/>
      <c r="P344" s="45"/>
      <c r="Q344" s="5"/>
      <c r="R344" s="5"/>
      <c r="S344" s="5"/>
      <c r="T344" s="5"/>
      <c r="U344" s="10">
        <f t="shared" si="23"/>
        <v>332</v>
      </c>
      <c r="V344" s="30" t="e">
        <f t="shared" si="20"/>
        <v>#DIV/0!</v>
      </c>
      <c r="W344" s="14" t="e">
        <f t="shared" si="21"/>
        <v>#DIV/0!</v>
      </c>
      <c r="X344" s="14" t="e">
        <f t="shared" si="22"/>
        <v>#DIV/0!</v>
      </c>
      <c r="Y344" s="48"/>
      <c r="Z344" s="33"/>
    </row>
    <row r="345" spans="1:26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4"/>
      <c r="P345" s="45"/>
      <c r="Q345" s="5"/>
      <c r="R345" s="5"/>
      <c r="S345" s="5"/>
      <c r="T345" s="5"/>
      <c r="U345" s="10">
        <f t="shared" si="23"/>
        <v>333</v>
      </c>
      <c r="V345" s="30" t="e">
        <f t="shared" si="20"/>
        <v>#DIV/0!</v>
      </c>
      <c r="W345" s="14" t="e">
        <f t="shared" si="21"/>
        <v>#DIV/0!</v>
      </c>
      <c r="X345" s="14" t="e">
        <f t="shared" si="22"/>
        <v>#DIV/0!</v>
      </c>
      <c r="Y345" s="48"/>
      <c r="Z345" s="33"/>
    </row>
    <row r="346" spans="1:26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4"/>
      <c r="P346" s="45"/>
      <c r="Q346" s="5"/>
      <c r="R346" s="5"/>
      <c r="S346" s="5"/>
      <c r="T346" s="5"/>
      <c r="U346" s="10">
        <f t="shared" si="23"/>
        <v>334</v>
      </c>
      <c r="V346" s="30" t="e">
        <f t="shared" si="20"/>
        <v>#DIV/0!</v>
      </c>
      <c r="W346" s="14" t="e">
        <f t="shared" si="21"/>
        <v>#DIV/0!</v>
      </c>
      <c r="X346" s="14" t="e">
        <f t="shared" si="22"/>
        <v>#DIV/0!</v>
      </c>
      <c r="Y346" s="48"/>
      <c r="Z346" s="33"/>
    </row>
    <row r="347" spans="1:26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4"/>
      <c r="P347" s="45"/>
      <c r="Q347" s="5"/>
      <c r="R347" s="5"/>
      <c r="S347" s="5"/>
      <c r="T347" s="5"/>
      <c r="U347" s="10">
        <f t="shared" si="23"/>
        <v>335</v>
      </c>
      <c r="V347" s="30" t="e">
        <f t="shared" si="20"/>
        <v>#DIV/0!</v>
      </c>
      <c r="W347" s="14" t="e">
        <f t="shared" si="21"/>
        <v>#DIV/0!</v>
      </c>
      <c r="X347" s="14" t="e">
        <f t="shared" si="22"/>
        <v>#DIV/0!</v>
      </c>
      <c r="Y347" s="48"/>
      <c r="Z347" s="33"/>
    </row>
    <row r="348" spans="1:26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4"/>
      <c r="P348" s="45"/>
      <c r="Q348" s="5"/>
      <c r="R348" s="5"/>
      <c r="S348" s="5"/>
      <c r="T348" s="5"/>
      <c r="U348" s="10">
        <f t="shared" si="23"/>
        <v>336</v>
      </c>
      <c r="V348" s="30" t="e">
        <f t="shared" si="20"/>
        <v>#DIV/0!</v>
      </c>
      <c r="W348" s="14" t="e">
        <f t="shared" si="21"/>
        <v>#DIV/0!</v>
      </c>
      <c r="X348" s="14" t="e">
        <f t="shared" si="22"/>
        <v>#DIV/0!</v>
      </c>
      <c r="Y348" s="48"/>
      <c r="Z348" s="33"/>
    </row>
    <row r="349" spans="1:26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4"/>
      <c r="P349" s="45"/>
      <c r="Q349" s="5"/>
      <c r="R349" s="5"/>
      <c r="S349" s="5"/>
      <c r="T349" s="5"/>
      <c r="U349" s="10">
        <f t="shared" si="23"/>
        <v>337</v>
      </c>
      <c r="V349" s="30" t="e">
        <f t="shared" si="20"/>
        <v>#DIV/0!</v>
      </c>
      <c r="W349" s="14" t="e">
        <f t="shared" si="21"/>
        <v>#DIV/0!</v>
      </c>
      <c r="X349" s="14" t="e">
        <f t="shared" si="22"/>
        <v>#DIV/0!</v>
      </c>
      <c r="Y349" s="48"/>
      <c r="Z349" s="33"/>
    </row>
    <row r="350" spans="1:26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4"/>
      <c r="P350" s="45"/>
      <c r="Q350" s="5"/>
      <c r="R350" s="5"/>
      <c r="S350" s="5"/>
      <c r="T350" s="5"/>
      <c r="U350" s="10">
        <f t="shared" si="23"/>
        <v>338</v>
      </c>
      <c r="V350" s="30" t="e">
        <f t="shared" si="20"/>
        <v>#DIV/0!</v>
      </c>
      <c r="W350" s="14" t="e">
        <f t="shared" si="21"/>
        <v>#DIV/0!</v>
      </c>
      <c r="X350" s="14" t="e">
        <f t="shared" si="22"/>
        <v>#DIV/0!</v>
      </c>
      <c r="Y350" s="48"/>
      <c r="Z350" s="33"/>
    </row>
    <row r="351" spans="1:26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4"/>
      <c r="P351" s="45"/>
      <c r="Q351" s="5"/>
      <c r="R351" s="5"/>
      <c r="S351" s="5"/>
      <c r="T351" s="5"/>
      <c r="U351" s="10">
        <f t="shared" si="23"/>
        <v>339</v>
      </c>
      <c r="V351" s="30" t="e">
        <f t="shared" si="20"/>
        <v>#DIV/0!</v>
      </c>
      <c r="W351" s="14" t="e">
        <f t="shared" si="21"/>
        <v>#DIV/0!</v>
      </c>
      <c r="X351" s="14" t="e">
        <f t="shared" si="22"/>
        <v>#DIV/0!</v>
      </c>
      <c r="Y351" s="48"/>
      <c r="Z351" s="33"/>
    </row>
    <row r="352" spans="1:26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4"/>
      <c r="P352" s="45"/>
      <c r="Q352" s="5"/>
      <c r="R352" s="5"/>
      <c r="S352" s="5"/>
      <c r="T352" s="5"/>
      <c r="U352" s="10">
        <f t="shared" si="23"/>
        <v>340</v>
      </c>
      <c r="V352" s="30" t="e">
        <f t="shared" si="20"/>
        <v>#DIV/0!</v>
      </c>
      <c r="W352" s="14" t="e">
        <f t="shared" si="21"/>
        <v>#DIV/0!</v>
      </c>
      <c r="X352" s="14" t="e">
        <f t="shared" si="22"/>
        <v>#DIV/0!</v>
      </c>
      <c r="Y352" s="48"/>
      <c r="Z352" s="33"/>
    </row>
    <row r="353" spans="1:26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4"/>
      <c r="P353" s="45"/>
      <c r="Q353" s="5"/>
      <c r="R353" s="5"/>
      <c r="S353" s="5"/>
      <c r="T353" s="5"/>
      <c r="U353" s="10">
        <f t="shared" si="23"/>
        <v>341</v>
      </c>
      <c r="V353" s="30" t="e">
        <f t="shared" si="20"/>
        <v>#DIV/0!</v>
      </c>
      <c r="W353" s="14" t="e">
        <f t="shared" si="21"/>
        <v>#DIV/0!</v>
      </c>
      <c r="X353" s="14" t="e">
        <f t="shared" si="22"/>
        <v>#DIV/0!</v>
      </c>
      <c r="Y353" s="48"/>
      <c r="Z353" s="33"/>
    </row>
    <row r="354" spans="1:26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4"/>
      <c r="P354" s="45"/>
      <c r="Q354" s="5"/>
      <c r="R354" s="5"/>
      <c r="S354" s="5"/>
      <c r="T354" s="5"/>
      <c r="U354" s="10">
        <f t="shared" si="23"/>
        <v>342</v>
      </c>
      <c r="V354" s="30" t="e">
        <f t="shared" si="20"/>
        <v>#DIV/0!</v>
      </c>
      <c r="W354" s="14" t="e">
        <f t="shared" si="21"/>
        <v>#DIV/0!</v>
      </c>
      <c r="X354" s="14" t="e">
        <f t="shared" si="22"/>
        <v>#DIV/0!</v>
      </c>
      <c r="Y354" s="48"/>
      <c r="Z354" s="33"/>
    </row>
    <row r="355" spans="1:26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4"/>
      <c r="P355" s="45"/>
      <c r="Q355" s="5"/>
      <c r="R355" s="5"/>
      <c r="S355" s="5"/>
      <c r="T355" s="5"/>
      <c r="U355" s="10">
        <f t="shared" si="23"/>
        <v>343</v>
      </c>
      <c r="V355" s="30" t="e">
        <f t="shared" si="20"/>
        <v>#DIV/0!</v>
      </c>
      <c r="W355" s="14" t="e">
        <f t="shared" si="21"/>
        <v>#DIV/0!</v>
      </c>
      <c r="X355" s="14" t="e">
        <f t="shared" si="22"/>
        <v>#DIV/0!</v>
      </c>
      <c r="Y355" s="48"/>
      <c r="Z355" s="33"/>
    </row>
    <row r="356" spans="1:26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4"/>
      <c r="P356" s="45"/>
      <c r="Q356" s="5"/>
      <c r="R356" s="5"/>
      <c r="S356" s="5"/>
      <c r="T356" s="5"/>
      <c r="U356" s="10">
        <f t="shared" si="23"/>
        <v>344</v>
      </c>
      <c r="V356" s="30" t="e">
        <f t="shared" si="20"/>
        <v>#DIV/0!</v>
      </c>
      <c r="W356" s="14" t="e">
        <f t="shared" si="21"/>
        <v>#DIV/0!</v>
      </c>
      <c r="X356" s="14" t="e">
        <f t="shared" si="22"/>
        <v>#DIV/0!</v>
      </c>
      <c r="Y356" s="48"/>
      <c r="Z356" s="33"/>
    </row>
    <row r="357" spans="1:26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4"/>
      <c r="P357" s="45"/>
      <c r="Q357" s="5"/>
      <c r="R357" s="5"/>
      <c r="S357" s="5"/>
      <c r="T357" s="5"/>
      <c r="U357" s="10">
        <f t="shared" si="23"/>
        <v>345</v>
      </c>
      <c r="V357" s="30" t="e">
        <f t="shared" si="20"/>
        <v>#DIV/0!</v>
      </c>
      <c r="W357" s="14" t="e">
        <f t="shared" si="21"/>
        <v>#DIV/0!</v>
      </c>
      <c r="X357" s="14" t="e">
        <f t="shared" si="22"/>
        <v>#DIV/0!</v>
      </c>
      <c r="Y357" s="48"/>
      <c r="Z357" s="33"/>
    </row>
    <row r="358" spans="1:26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4"/>
      <c r="P358" s="45"/>
      <c r="Q358" s="5"/>
      <c r="R358" s="5"/>
      <c r="S358" s="5"/>
      <c r="T358" s="5"/>
      <c r="U358" s="10">
        <f t="shared" si="23"/>
        <v>346</v>
      </c>
      <c r="V358" s="30" t="e">
        <f t="shared" si="20"/>
        <v>#DIV/0!</v>
      </c>
      <c r="W358" s="14" t="e">
        <f t="shared" si="21"/>
        <v>#DIV/0!</v>
      </c>
      <c r="X358" s="14" t="e">
        <f t="shared" si="22"/>
        <v>#DIV/0!</v>
      </c>
      <c r="Y358" s="48"/>
      <c r="Z358" s="33"/>
    </row>
    <row r="359" spans="1:26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4"/>
      <c r="P359" s="45"/>
      <c r="Q359" s="5"/>
      <c r="R359" s="5"/>
      <c r="S359" s="5"/>
      <c r="T359" s="5"/>
      <c r="U359" s="10">
        <f t="shared" si="23"/>
        <v>347</v>
      </c>
      <c r="V359" s="30" t="e">
        <f t="shared" si="20"/>
        <v>#DIV/0!</v>
      </c>
      <c r="W359" s="14" t="e">
        <f t="shared" si="21"/>
        <v>#DIV/0!</v>
      </c>
      <c r="X359" s="14" t="e">
        <f t="shared" si="22"/>
        <v>#DIV/0!</v>
      </c>
      <c r="Y359" s="48"/>
      <c r="Z359" s="33"/>
    </row>
    <row r="360" spans="1:26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4"/>
      <c r="P360" s="45"/>
      <c r="Q360" s="5"/>
      <c r="R360" s="5"/>
      <c r="S360" s="5"/>
      <c r="T360" s="5"/>
      <c r="U360" s="10">
        <f t="shared" si="23"/>
        <v>348</v>
      </c>
      <c r="V360" s="30" t="e">
        <f t="shared" si="20"/>
        <v>#DIV/0!</v>
      </c>
      <c r="W360" s="14" t="e">
        <f t="shared" si="21"/>
        <v>#DIV/0!</v>
      </c>
      <c r="X360" s="14" t="e">
        <f t="shared" si="22"/>
        <v>#DIV/0!</v>
      </c>
      <c r="Y360" s="48"/>
      <c r="Z360" s="33"/>
    </row>
    <row r="361" spans="1:26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4"/>
      <c r="P361" s="45"/>
      <c r="Q361" s="5"/>
      <c r="R361" s="5"/>
      <c r="S361" s="5"/>
      <c r="T361" s="5"/>
      <c r="U361" s="10">
        <f t="shared" si="23"/>
        <v>349</v>
      </c>
      <c r="V361" s="30" t="e">
        <f t="shared" si="20"/>
        <v>#DIV/0!</v>
      </c>
      <c r="W361" s="14" t="e">
        <f t="shared" si="21"/>
        <v>#DIV/0!</v>
      </c>
      <c r="X361" s="14" t="e">
        <f t="shared" si="22"/>
        <v>#DIV/0!</v>
      </c>
      <c r="Y361" s="48"/>
      <c r="Z361" s="33"/>
    </row>
    <row r="362" spans="1:26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4"/>
      <c r="P362" s="45"/>
      <c r="Q362" s="5"/>
      <c r="R362" s="5"/>
      <c r="S362" s="5"/>
      <c r="T362" s="5"/>
      <c r="U362" s="10">
        <f t="shared" si="23"/>
        <v>350</v>
      </c>
      <c r="V362" s="30" t="e">
        <f t="shared" si="20"/>
        <v>#DIV/0!</v>
      </c>
      <c r="W362" s="14" t="e">
        <f t="shared" si="21"/>
        <v>#DIV/0!</v>
      </c>
      <c r="X362" s="14" t="e">
        <f t="shared" si="22"/>
        <v>#DIV/0!</v>
      </c>
      <c r="Y362" s="48"/>
      <c r="Z362" s="33"/>
    </row>
    <row r="363" spans="1:26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4"/>
      <c r="P363" s="45"/>
      <c r="Q363" s="5"/>
      <c r="R363" s="5"/>
      <c r="S363" s="5"/>
      <c r="T363" s="5"/>
      <c r="U363" s="10">
        <f t="shared" si="23"/>
        <v>351</v>
      </c>
      <c r="V363" s="30" t="e">
        <f t="shared" si="20"/>
        <v>#DIV/0!</v>
      </c>
      <c r="W363" s="14" t="e">
        <f t="shared" si="21"/>
        <v>#DIV/0!</v>
      </c>
      <c r="X363" s="14" t="e">
        <f t="shared" si="22"/>
        <v>#DIV/0!</v>
      </c>
      <c r="Y363" s="48"/>
      <c r="Z363" s="33"/>
    </row>
    <row r="364" spans="1:26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4"/>
      <c r="P364" s="45"/>
      <c r="Q364" s="5"/>
      <c r="R364" s="5"/>
      <c r="S364" s="5"/>
      <c r="T364" s="5"/>
      <c r="U364" s="10">
        <f t="shared" si="23"/>
        <v>352</v>
      </c>
      <c r="V364" s="30" t="e">
        <f t="shared" si="20"/>
        <v>#DIV/0!</v>
      </c>
      <c r="W364" s="14" t="e">
        <f t="shared" si="21"/>
        <v>#DIV/0!</v>
      </c>
      <c r="X364" s="14" t="e">
        <f t="shared" si="22"/>
        <v>#DIV/0!</v>
      </c>
      <c r="Y364" s="48"/>
      <c r="Z364" s="33"/>
    </row>
    <row r="365" spans="1:26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4"/>
      <c r="P365" s="45"/>
      <c r="Q365" s="5"/>
      <c r="R365" s="5"/>
      <c r="S365" s="5"/>
      <c r="T365" s="5"/>
      <c r="U365" s="10">
        <f t="shared" si="23"/>
        <v>353</v>
      </c>
      <c r="V365" s="30" t="e">
        <f t="shared" si="20"/>
        <v>#DIV/0!</v>
      </c>
      <c r="W365" s="14" t="e">
        <f t="shared" si="21"/>
        <v>#DIV/0!</v>
      </c>
      <c r="X365" s="14" t="e">
        <f t="shared" si="22"/>
        <v>#DIV/0!</v>
      </c>
      <c r="Y365" s="48"/>
      <c r="Z365" s="33"/>
    </row>
    <row r="366" spans="1:26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4"/>
      <c r="P366" s="45"/>
      <c r="Q366" s="5"/>
      <c r="R366" s="5"/>
      <c r="S366" s="5"/>
      <c r="T366" s="5"/>
      <c r="U366" s="10">
        <f t="shared" si="23"/>
        <v>354</v>
      </c>
      <c r="V366" s="30" t="e">
        <f t="shared" si="20"/>
        <v>#DIV/0!</v>
      </c>
      <c r="W366" s="14" t="e">
        <f t="shared" si="21"/>
        <v>#DIV/0!</v>
      </c>
      <c r="X366" s="14" t="e">
        <f t="shared" si="22"/>
        <v>#DIV/0!</v>
      </c>
      <c r="Y366" s="48"/>
      <c r="Z366" s="33"/>
    </row>
    <row r="367" spans="1:26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4"/>
      <c r="P367" s="45"/>
      <c r="Q367" s="5"/>
      <c r="R367" s="5"/>
      <c r="S367" s="5"/>
      <c r="T367" s="5"/>
      <c r="U367" s="10">
        <f t="shared" si="23"/>
        <v>355</v>
      </c>
      <c r="V367" s="30" t="e">
        <f t="shared" si="20"/>
        <v>#DIV/0!</v>
      </c>
      <c r="W367" s="14" t="e">
        <f t="shared" si="21"/>
        <v>#DIV/0!</v>
      </c>
      <c r="X367" s="14" t="e">
        <f t="shared" si="22"/>
        <v>#DIV/0!</v>
      </c>
      <c r="Y367" s="48"/>
      <c r="Z367" s="33"/>
    </row>
    <row r="368" spans="1:26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4"/>
      <c r="P368" s="45"/>
      <c r="Q368" s="5"/>
      <c r="R368" s="5"/>
      <c r="S368" s="5"/>
      <c r="T368" s="5"/>
      <c r="U368" s="10">
        <f t="shared" si="23"/>
        <v>356</v>
      </c>
      <c r="V368" s="30" t="e">
        <f t="shared" si="20"/>
        <v>#DIV/0!</v>
      </c>
      <c r="W368" s="14" t="e">
        <f t="shared" si="21"/>
        <v>#DIV/0!</v>
      </c>
      <c r="X368" s="14" t="e">
        <f t="shared" si="22"/>
        <v>#DIV/0!</v>
      </c>
      <c r="Y368" s="48"/>
      <c r="Z368" s="33"/>
    </row>
    <row r="369" spans="1:26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4"/>
      <c r="P369" s="45"/>
      <c r="Q369" s="5"/>
      <c r="R369" s="5"/>
      <c r="S369" s="5"/>
      <c r="T369" s="5"/>
      <c r="U369" s="10">
        <f t="shared" si="23"/>
        <v>357</v>
      </c>
      <c r="V369" s="30" t="e">
        <f t="shared" si="20"/>
        <v>#DIV/0!</v>
      </c>
      <c r="W369" s="14" t="e">
        <f t="shared" si="21"/>
        <v>#DIV/0!</v>
      </c>
      <c r="X369" s="14" t="e">
        <f t="shared" si="22"/>
        <v>#DIV/0!</v>
      </c>
      <c r="Y369" s="48"/>
      <c r="Z369" s="33"/>
    </row>
    <row r="370" spans="1:26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4"/>
      <c r="P370" s="45"/>
      <c r="Q370" s="5"/>
      <c r="R370" s="5"/>
      <c r="S370" s="5"/>
      <c r="T370" s="5"/>
      <c r="U370" s="10">
        <f t="shared" si="23"/>
        <v>358</v>
      </c>
      <c r="V370" s="30" t="e">
        <f t="shared" si="20"/>
        <v>#DIV/0!</v>
      </c>
      <c r="W370" s="14" t="e">
        <f t="shared" si="21"/>
        <v>#DIV/0!</v>
      </c>
      <c r="X370" s="14" t="e">
        <f t="shared" si="22"/>
        <v>#DIV/0!</v>
      </c>
      <c r="Y370" s="48"/>
      <c r="Z370" s="33"/>
    </row>
    <row r="371" spans="1:26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4"/>
      <c r="P371" s="45"/>
      <c r="Q371" s="5"/>
      <c r="R371" s="5"/>
      <c r="S371" s="5"/>
      <c r="T371" s="5"/>
      <c r="U371" s="10">
        <f t="shared" si="23"/>
        <v>359</v>
      </c>
      <c r="V371" s="30" t="e">
        <f t="shared" si="20"/>
        <v>#DIV/0!</v>
      </c>
      <c r="W371" s="14" t="e">
        <f t="shared" si="21"/>
        <v>#DIV/0!</v>
      </c>
      <c r="X371" s="14" t="e">
        <f t="shared" si="22"/>
        <v>#DIV/0!</v>
      </c>
      <c r="Y371" s="48"/>
      <c r="Z371" s="33"/>
    </row>
    <row r="372" spans="1:26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4"/>
      <c r="P372" s="45"/>
      <c r="Q372" s="5"/>
      <c r="R372" s="5"/>
      <c r="S372" s="5"/>
      <c r="T372" s="5"/>
      <c r="U372" s="10">
        <f t="shared" si="23"/>
        <v>360</v>
      </c>
      <c r="V372" s="30" t="e">
        <f t="shared" si="20"/>
        <v>#DIV/0!</v>
      </c>
      <c r="W372" s="14" t="e">
        <f t="shared" si="21"/>
        <v>#DIV/0!</v>
      </c>
      <c r="X372" s="14" t="e">
        <f t="shared" si="22"/>
        <v>#DIV/0!</v>
      </c>
      <c r="Y372" s="48"/>
      <c r="Z372" s="33"/>
    </row>
    <row r="373" spans="1:26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4"/>
      <c r="P373" s="45"/>
      <c r="Q373" s="5"/>
      <c r="R373" s="5"/>
      <c r="S373" s="5"/>
      <c r="T373" s="5"/>
      <c r="U373" s="10">
        <f t="shared" si="23"/>
        <v>361</v>
      </c>
      <c r="V373" s="30" t="e">
        <f t="shared" si="20"/>
        <v>#DIV/0!</v>
      </c>
      <c r="W373" s="14" t="e">
        <f t="shared" si="21"/>
        <v>#DIV/0!</v>
      </c>
      <c r="X373" s="14" t="e">
        <f t="shared" si="22"/>
        <v>#DIV/0!</v>
      </c>
      <c r="Y373" s="48"/>
      <c r="Z373" s="33"/>
    </row>
    <row r="374" spans="1:26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4"/>
      <c r="P374" s="45"/>
      <c r="Q374" s="5"/>
      <c r="R374" s="5"/>
      <c r="S374" s="5"/>
      <c r="T374" s="5"/>
      <c r="U374" s="10">
        <f t="shared" si="23"/>
        <v>362</v>
      </c>
      <c r="V374" s="30" t="e">
        <f t="shared" si="20"/>
        <v>#DIV/0!</v>
      </c>
      <c r="W374" s="14" t="e">
        <f t="shared" si="21"/>
        <v>#DIV/0!</v>
      </c>
      <c r="X374" s="14" t="e">
        <f t="shared" si="22"/>
        <v>#DIV/0!</v>
      </c>
      <c r="Y374" s="48"/>
      <c r="Z374" s="33"/>
    </row>
    <row r="375" spans="1:26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4"/>
      <c r="P375" s="45"/>
      <c r="Q375" s="5"/>
      <c r="R375" s="5"/>
      <c r="S375" s="5"/>
      <c r="T375" s="5"/>
      <c r="U375" s="10">
        <f t="shared" si="23"/>
        <v>363</v>
      </c>
      <c r="V375" s="30" t="e">
        <f t="shared" si="20"/>
        <v>#DIV/0!</v>
      </c>
      <c r="W375" s="14" t="e">
        <f t="shared" si="21"/>
        <v>#DIV/0!</v>
      </c>
      <c r="X375" s="14" t="e">
        <f t="shared" si="22"/>
        <v>#DIV/0!</v>
      </c>
      <c r="Y375" s="48"/>
      <c r="Z375" s="33"/>
    </row>
    <row r="376" spans="1:26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4"/>
      <c r="P376" s="45"/>
      <c r="Q376" s="5"/>
      <c r="R376" s="5"/>
      <c r="S376" s="5"/>
      <c r="T376" s="5"/>
      <c r="U376" s="10">
        <f t="shared" si="23"/>
        <v>364</v>
      </c>
      <c r="V376" s="30" t="e">
        <f t="shared" si="20"/>
        <v>#DIV/0!</v>
      </c>
      <c r="W376" s="14" t="e">
        <f t="shared" si="21"/>
        <v>#DIV/0!</v>
      </c>
      <c r="X376" s="14" t="e">
        <f t="shared" si="22"/>
        <v>#DIV/0!</v>
      </c>
      <c r="Y376" s="48"/>
      <c r="Z376" s="33"/>
    </row>
    <row r="377" spans="1:26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4"/>
      <c r="P377" s="45"/>
      <c r="Q377" s="5"/>
      <c r="R377" s="5"/>
      <c r="S377" s="5"/>
      <c r="T377" s="5"/>
      <c r="U377" s="10">
        <f t="shared" si="23"/>
        <v>365</v>
      </c>
      <c r="V377" s="30" t="e">
        <f t="shared" si="20"/>
        <v>#DIV/0!</v>
      </c>
      <c r="W377" s="14" t="e">
        <f t="shared" si="21"/>
        <v>#DIV/0!</v>
      </c>
      <c r="X377" s="14" t="e">
        <f t="shared" si="22"/>
        <v>#DIV/0!</v>
      </c>
      <c r="Y377" s="48"/>
      <c r="Z377" s="33"/>
    </row>
    <row r="378" spans="1:26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4"/>
      <c r="P378" s="45"/>
      <c r="Q378" s="5"/>
      <c r="R378" s="5"/>
      <c r="S378" s="5"/>
      <c r="T378" s="5"/>
      <c r="U378" s="10">
        <f t="shared" si="23"/>
        <v>366</v>
      </c>
      <c r="V378" s="30" t="e">
        <f t="shared" si="20"/>
        <v>#DIV/0!</v>
      </c>
      <c r="W378" s="14" t="e">
        <f t="shared" si="21"/>
        <v>#DIV/0!</v>
      </c>
      <c r="X378" s="14" t="e">
        <f t="shared" si="22"/>
        <v>#DIV/0!</v>
      </c>
      <c r="Y378" s="48"/>
      <c r="Z378" s="33"/>
    </row>
    <row r="379" spans="1:26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4"/>
      <c r="P379" s="45"/>
      <c r="Q379" s="5"/>
      <c r="R379" s="5"/>
      <c r="S379" s="5"/>
      <c r="T379" s="5"/>
      <c r="U379" s="10">
        <f t="shared" si="23"/>
        <v>367</v>
      </c>
      <c r="V379" s="30" t="e">
        <f t="shared" si="20"/>
        <v>#DIV/0!</v>
      </c>
      <c r="W379" s="14" t="e">
        <f t="shared" si="21"/>
        <v>#DIV/0!</v>
      </c>
      <c r="X379" s="14" t="e">
        <f t="shared" si="22"/>
        <v>#DIV/0!</v>
      </c>
      <c r="Y379" s="48"/>
      <c r="Z379" s="33"/>
    </row>
    <row r="380" spans="1:26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4"/>
      <c r="P380" s="45"/>
      <c r="Q380" s="5"/>
      <c r="R380" s="5"/>
      <c r="S380" s="5"/>
      <c r="T380" s="5"/>
      <c r="U380" s="10">
        <f t="shared" si="23"/>
        <v>368</v>
      </c>
      <c r="V380" s="30" t="e">
        <f t="shared" si="20"/>
        <v>#DIV/0!</v>
      </c>
      <c r="W380" s="14" t="e">
        <f t="shared" si="21"/>
        <v>#DIV/0!</v>
      </c>
      <c r="X380" s="14" t="e">
        <f t="shared" si="22"/>
        <v>#DIV/0!</v>
      </c>
      <c r="Y380" s="48"/>
      <c r="Z380" s="33"/>
    </row>
    <row r="381" spans="1:26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4"/>
      <c r="P381" s="45"/>
      <c r="Q381" s="5"/>
      <c r="R381" s="5"/>
      <c r="S381" s="5"/>
      <c r="T381" s="5"/>
      <c r="U381" s="10">
        <f t="shared" si="23"/>
        <v>369</v>
      </c>
      <c r="V381" s="30" t="e">
        <f t="shared" si="20"/>
        <v>#DIV/0!</v>
      </c>
      <c r="W381" s="14" t="e">
        <f t="shared" si="21"/>
        <v>#DIV/0!</v>
      </c>
      <c r="X381" s="14" t="e">
        <f t="shared" si="22"/>
        <v>#DIV/0!</v>
      </c>
      <c r="Y381" s="48"/>
      <c r="Z381" s="33"/>
    </row>
    <row r="382" spans="1:26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4"/>
      <c r="P382" s="45"/>
      <c r="Q382" s="5"/>
      <c r="R382" s="5"/>
      <c r="S382" s="5"/>
      <c r="T382" s="5"/>
      <c r="U382" s="10">
        <f t="shared" si="23"/>
        <v>370</v>
      </c>
      <c r="V382" s="30" t="e">
        <f t="shared" si="20"/>
        <v>#DIV/0!</v>
      </c>
      <c r="W382" s="14" t="e">
        <f t="shared" si="21"/>
        <v>#DIV/0!</v>
      </c>
      <c r="X382" s="14" t="e">
        <f t="shared" si="22"/>
        <v>#DIV/0!</v>
      </c>
      <c r="Y382" s="48"/>
      <c r="Z382" s="33"/>
    </row>
    <row r="383" spans="1:26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4"/>
      <c r="P383" s="45"/>
      <c r="Q383" s="5"/>
      <c r="R383" s="5"/>
      <c r="S383" s="5"/>
      <c r="T383" s="5"/>
      <c r="U383" s="10">
        <f t="shared" si="23"/>
        <v>371</v>
      </c>
      <c r="V383" s="30" t="e">
        <f t="shared" si="20"/>
        <v>#DIV/0!</v>
      </c>
      <c r="W383" s="14" t="e">
        <f t="shared" si="21"/>
        <v>#DIV/0!</v>
      </c>
      <c r="X383" s="14" t="e">
        <f t="shared" si="22"/>
        <v>#DIV/0!</v>
      </c>
      <c r="Y383" s="48"/>
      <c r="Z383" s="33"/>
    </row>
    <row r="384" spans="1:26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4"/>
      <c r="P384" s="45"/>
      <c r="Q384" s="5"/>
      <c r="R384" s="5"/>
      <c r="S384" s="5"/>
      <c r="T384" s="5"/>
      <c r="U384" s="10">
        <f t="shared" si="23"/>
        <v>372</v>
      </c>
      <c r="V384" s="30" t="e">
        <f t="shared" si="20"/>
        <v>#DIV/0!</v>
      </c>
      <c r="W384" s="14" t="e">
        <f t="shared" si="21"/>
        <v>#DIV/0!</v>
      </c>
      <c r="X384" s="14" t="e">
        <f t="shared" si="22"/>
        <v>#DIV/0!</v>
      </c>
      <c r="Y384" s="48"/>
      <c r="Z384" s="33"/>
    </row>
    <row r="385" spans="1:26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4"/>
      <c r="P385" s="45"/>
      <c r="Q385" s="5"/>
      <c r="R385" s="5"/>
      <c r="S385" s="5"/>
      <c r="T385" s="5"/>
      <c r="U385" s="10">
        <f t="shared" si="23"/>
        <v>373</v>
      </c>
      <c r="V385" s="30" t="e">
        <f t="shared" si="20"/>
        <v>#DIV/0!</v>
      </c>
      <c r="W385" s="14" t="e">
        <f t="shared" si="21"/>
        <v>#DIV/0!</v>
      </c>
      <c r="X385" s="14" t="e">
        <f t="shared" si="22"/>
        <v>#DIV/0!</v>
      </c>
      <c r="Y385" s="48"/>
      <c r="Z385" s="33"/>
    </row>
    <row r="386" spans="1:26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4"/>
      <c r="P386" s="45"/>
      <c r="Q386" s="5"/>
      <c r="R386" s="5"/>
      <c r="S386" s="5"/>
      <c r="T386" s="5"/>
      <c r="U386" s="10">
        <f t="shared" si="23"/>
        <v>374</v>
      </c>
      <c r="V386" s="30" t="e">
        <f t="shared" si="20"/>
        <v>#DIV/0!</v>
      </c>
      <c r="W386" s="14" t="e">
        <f t="shared" si="21"/>
        <v>#DIV/0!</v>
      </c>
      <c r="X386" s="14" t="e">
        <f t="shared" si="22"/>
        <v>#DIV/0!</v>
      </c>
      <c r="Y386" s="48"/>
      <c r="Z386" s="33"/>
    </row>
    <row r="387" spans="1:26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4"/>
      <c r="P387" s="45"/>
      <c r="Q387" s="5"/>
      <c r="R387" s="5"/>
      <c r="S387" s="5"/>
      <c r="T387" s="5"/>
      <c r="U387" s="10">
        <f t="shared" si="23"/>
        <v>375</v>
      </c>
      <c r="V387" s="30" t="e">
        <f t="shared" si="20"/>
        <v>#DIV/0!</v>
      </c>
      <c r="W387" s="14" t="e">
        <f t="shared" si="21"/>
        <v>#DIV/0!</v>
      </c>
      <c r="X387" s="14" t="e">
        <f t="shared" si="22"/>
        <v>#DIV/0!</v>
      </c>
      <c r="Y387" s="48"/>
      <c r="Z387" s="33"/>
    </row>
    <row r="388" spans="1:26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4"/>
      <c r="P388" s="45"/>
      <c r="Q388" s="5"/>
      <c r="R388" s="5"/>
      <c r="S388" s="5"/>
      <c r="T388" s="5"/>
      <c r="U388" s="10">
        <f t="shared" si="23"/>
        <v>376</v>
      </c>
      <c r="V388" s="30" t="e">
        <f t="shared" si="20"/>
        <v>#DIV/0!</v>
      </c>
      <c r="W388" s="14" t="e">
        <f t="shared" si="21"/>
        <v>#DIV/0!</v>
      </c>
      <c r="X388" s="14" t="e">
        <f t="shared" si="22"/>
        <v>#DIV/0!</v>
      </c>
      <c r="Y388" s="48"/>
      <c r="Z388" s="33"/>
    </row>
    <row r="389" spans="1:26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4"/>
      <c r="P389" s="45"/>
      <c r="Q389" s="5"/>
      <c r="R389" s="5"/>
      <c r="S389" s="5"/>
      <c r="T389" s="5"/>
      <c r="U389" s="10">
        <f t="shared" si="23"/>
        <v>377</v>
      </c>
      <c r="V389" s="30" t="e">
        <f t="shared" si="20"/>
        <v>#DIV/0!</v>
      </c>
      <c r="W389" s="14" t="e">
        <f t="shared" si="21"/>
        <v>#DIV/0!</v>
      </c>
      <c r="X389" s="14" t="e">
        <f t="shared" si="22"/>
        <v>#DIV/0!</v>
      </c>
      <c r="Y389" s="48"/>
      <c r="Z389" s="33"/>
    </row>
    <row r="390" spans="1:26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4"/>
      <c r="P390" s="45"/>
      <c r="Q390" s="5"/>
      <c r="R390" s="5"/>
      <c r="S390" s="5"/>
      <c r="T390" s="5"/>
      <c r="U390" s="10">
        <f t="shared" si="23"/>
        <v>378</v>
      </c>
      <c r="V390" s="30" t="e">
        <f t="shared" si="20"/>
        <v>#DIV/0!</v>
      </c>
      <c r="W390" s="14" t="e">
        <f t="shared" si="21"/>
        <v>#DIV/0!</v>
      </c>
      <c r="X390" s="14" t="e">
        <f t="shared" si="22"/>
        <v>#DIV/0!</v>
      </c>
      <c r="Y390" s="48"/>
      <c r="Z390" s="33"/>
    </row>
    <row r="391" spans="1:26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4"/>
      <c r="P391" s="45"/>
      <c r="Q391" s="5"/>
      <c r="R391" s="5"/>
      <c r="S391" s="5"/>
      <c r="T391" s="5"/>
      <c r="U391" s="10">
        <f t="shared" si="23"/>
        <v>379</v>
      </c>
      <c r="V391" s="30" t="e">
        <f t="shared" si="20"/>
        <v>#DIV/0!</v>
      </c>
      <c r="W391" s="14" t="e">
        <f t="shared" si="21"/>
        <v>#DIV/0!</v>
      </c>
      <c r="X391" s="14" t="e">
        <f t="shared" si="22"/>
        <v>#DIV/0!</v>
      </c>
      <c r="Y391" s="48"/>
      <c r="Z391" s="33"/>
    </row>
    <row r="392" spans="1:26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4"/>
      <c r="P392" s="45"/>
      <c r="Q392" s="5"/>
      <c r="R392" s="5"/>
      <c r="S392" s="5"/>
      <c r="T392" s="5"/>
      <c r="U392" s="10">
        <f t="shared" si="23"/>
        <v>380</v>
      </c>
      <c r="V392" s="30" t="e">
        <f t="shared" si="20"/>
        <v>#DIV/0!</v>
      </c>
      <c r="W392" s="14" t="e">
        <f t="shared" si="21"/>
        <v>#DIV/0!</v>
      </c>
      <c r="X392" s="14" t="e">
        <f t="shared" si="22"/>
        <v>#DIV/0!</v>
      </c>
      <c r="Y392" s="48"/>
      <c r="Z392" s="33"/>
    </row>
    <row r="393" spans="1:26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4"/>
      <c r="P393" s="45"/>
      <c r="Q393" s="5"/>
      <c r="R393" s="5"/>
      <c r="S393" s="5"/>
      <c r="T393" s="5"/>
      <c r="U393" s="10">
        <f t="shared" si="23"/>
        <v>381</v>
      </c>
      <c r="V393" s="30" t="e">
        <f t="shared" si="20"/>
        <v>#DIV/0!</v>
      </c>
      <c r="W393" s="14" t="e">
        <f t="shared" si="21"/>
        <v>#DIV/0!</v>
      </c>
      <c r="X393" s="14" t="e">
        <f t="shared" si="22"/>
        <v>#DIV/0!</v>
      </c>
      <c r="Y393" s="48"/>
      <c r="Z393" s="33"/>
    </row>
    <row r="394" spans="1:26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4"/>
      <c r="P394" s="45"/>
      <c r="Q394" s="5"/>
      <c r="R394" s="5"/>
      <c r="S394" s="5"/>
      <c r="T394" s="5"/>
      <c r="U394" s="10">
        <f t="shared" si="23"/>
        <v>382</v>
      </c>
      <c r="V394" s="30" t="e">
        <f t="shared" si="20"/>
        <v>#DIV/0!</v>
      </c>
      <c r="W394" s="14" t="e">
        <f t="shared" si="21"/>
        <v>#DIV/0!</v>
      </c>
      <c r="X394" s="14" t="e">
        <f t="shared" si="22"/>
        <v>#DIV/0!</v>
      </c>
      <c r="Y394" s="48"/>
      <c r="Z394" s="33"/>
    </row>
    <row r="395" spans="1:26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4"/>
      <c r="P395" s="45"/>
      <c r="Q395" s="5"/>
      <c r="R395" s="5"/>
      <c r="S395" s="5"/>
      <c r="T395" s="5"/>
      <c r="U395" s="10">
        <f t="shared" si="23"/>
        <v>383</v>
      </c>
      <c r="V395" s="30" t="e">
        <f t="shared" si="20"/>
        <v>#DIV/0!</v>
      </c>
      <c r="W395" s="14" t="e">
        <f t="shared" si="21"/>
        <v>#DIV/0!</v>
      </c>
      <c r="X395" s="14" t="e">
        <f t="shared" si="22"/>
        <v>#DIV/0!</v>
      </c>
      <c r="Y395" s="48"/>
      <c r="Z395" s="33"/>
    </row>
    <row r="396" spans="1:26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4"/>
      <c r="P396" s="45"/>
      <c r="Q396" s="5"/>
      <c r="R396" s="5"/>
      <c r="S396" s="5"/>
      <c r="T396" s="5"/>
      <c r="U396" s="10">
        <f t="shared" si="23"/>
        <v>384</v>
      </c>
      <c r="V396" s="30" t="e">
        <f aca="true" t="shared" si="24" ref="V396:V459">SQRT((W396-SLU_Half_Luff_a_x)^2+(X396-SLU_Half_Luff_a_y)^2)</f>
        <v>#DIV/0!</v>
      </c>
      <c r="W396" s="14" t="e">
        <f t="shared" si="21"/>
        <v>#DIV/0!</v>
      </c>
      <c r="X396" s="14" t="e">
        <f t="shared" si="22"/>
        <v>#DIV/0!</v>
      </c>
      <c r="Y396" s="48"/>
      <c r="Z396" s="33"/>
    </row>
    <row r="397" spans="1:26" ht="12.7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4"/>
      <c r="P397" s="45"/>
      <c r="Q397" s="5"/>
      <c r="R397" s="5"/>
      <c r="S397" s="5"/>
      <c r="T397" s="5"/>
      <c r="U397" s="10">
        <f t="shared" si="23"/>
        <v>385</v>
      </c>
      <c r="V397" s="30" t="e">
        <f t="shared" si="24"/>
        <v>#DIV/0!</v>
      </c>
      <c r="W397" s="14" t="e">
        <f aca="true" t="shared" si="25" ref="W397:W460">Start_for_int_x+U397*Step_Inc*COS(SLE_Mid_Luff_Angle_r)</f>
        <v>#DIV/0!</v>
      </c>
      <c r="X397" s="14" t="e">
        <f aca="true" t="shared" si="26" ref="X397:X460">Start_for_int_y+U397*Step_Inc*SIN(SLE_Mid_Luff_Angle_r)</f>
        <v>#DIV/0!</v>
      </c>
      <c r="Y397" s="48"/>
      <c r="Z397" s="33"/>
    </row>
    <row r="398" spans="1:26" ht="12.7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4"/>
      <c r="P398" s="45"/>
      <c r="Q398" s="5"/>
      <c r="R398" s="5"/>
      <c r="S398" s="5"/>
      <c r="T398" s="5"/>
      <c r="U398" s="10">
        <f aca="true" t="shared" si="27" ref="U398:U461">U397+1</f>
        <v>386</v>
      </c>
      <c r="V398" s="30" t="e">
        <f t="shared" si="24"/>
        <v>#DIV/0!</v>
      </c>
      <c r="W398" s="14" t="e">
        <f t="shared" si="25"/>
        <v>#DIV/0!</v>
      </c>
      <c r="X398" s="14" t="e">
        <f t="shared" si="26"/>
        <v>#DIV/0!</v>
      </c>
      <c r="Y398" s="48"/>
      <c r="Z398" s="33"/>
    </row>
    <row r="399" spans="1:26" ht="12.7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4"/>
      <c r="P399" s="45"/>
      <c r="Q399" s="5"/>
      <c r="R399" s="5"/>
      <c r="S399" s="5"/>
      <c r="T399" s="5"/>
      <c r="U399" s="10">
        <f t="shared" si="27"/>
        <v>387</v>
      </c>
      <c r="V399" s="30" t="e">
        <f t="shared" si="24"/>
        <v>#DIV/0!</v>
      </c>
      <c r="W399" s="14" t="e">
        <f t="shared" si="25"/>
        <v>#DIV/0!</v>
      </c>
      <c r="X399" s="14" t="e">
        <f t="shared" si="26"/>
        <v>#DIV/0!</v>
      </c>
      <c r="Y399" s="48"/>
      <c r="Z399" s="33"/>
    </row>
    <row r="400" spans="1:26" ht="12.7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4"/>
      <c r="P400" s="45"/>
      <c r="Q400" s="5"/>
      <c r="R400" s="5"/>
      <c r="S400" s="5"/>
      <c r="T400" s="5"/>
      <c r="U400" s="10">
        <f t="shared" si="27"/>
        <v>388</v>
      </c>
      <c r="V400" s="30" t="e">
        <f t="shared" si="24"/>
        <v>#DIV/0!</v>
      </c>
      <c r="W400" s="14" t="e">
        <f t="shared" si="25"/>
        <v>#DIV/0!</v>
      </c>
      <c r="X400" s="14" t="e">
        <f t="shared" si="26"/>
        <v>#DIV/0!</v>
      </c>
      <c r="Y400" s="48"/>
      <c r="Z400" s="33"/>
    </row>
    <row r="401" spans="1:26" ht="12.7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4"/>
      <c r="P401" s="45"/>
      <c r="Q401" s="5"/>
      <c r="R401" s="5"/>
      <c r="S401" s="5"/>
      <c r="T401" s="5"/>
      <c r="U401" s="10">
        <f t="shared" si="27"/>
        <v>389</v>
      </c>
      <c r="V401" s="30" t="e">
        <f t="shared" si="24"/>
        <v>#DIV/0!</v>
      </c>
      <c r="W401" s="14" t="e">
        <f t="shared" si="25"/>
        <v>#DIV/0!</v>
      </c>
      <c r="X401" s="14" t="e">
        <f t="shared" si="26"/>
        <v>#DIV/0!</v>
      </c>
      <c r="Y401" s="48"/>
      <c r="Z401" s="33"/>
    </row>
    <row r="402" spans="1:26" ht="12.7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4"/>
      <c r="P402" s="45"/>
      <c r="Q402" s="5"/>
      <c r="R402" s="5"/>
      <c r="S402" s="5"/>
      <c r="T402" s="5"/>
      <c r="U402" s="10">
        <f t="shared" si="27"/>
        <v>390</v>
      </c>
      <c r="V402" s="30" t="e">
        <f t="shared" si="24"/>
        <v>#DIV/0!</v>
      </c>
      <c r="W402" s="14" t="e">
        <f t="shared" si="25"/>
        <v>#DIV/0!</v>
      </c>
      <c r="X402" s="14" t="e">
        <f t="shared" si="26"/>
        <v>#DIV/0!</v>
      </c>
      <c r="Y402" s="48"/>
      <c r="Z402" s="33"/>
    </row>
    <row r="403" spans="1:26" ht="12.7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4"/>
      <c r="P403" s="45"/>
      <c r="Q403" s="5"/>
      <c r="R403" s="5"/>
      <c r="S403" s="5"/>
      <c r="T403" s="5"/>
      <c r="U403" s="10">
        <f t="shared" si="27"/>
        <v>391</v>
      </c>
      <c r="V403" s="30" t="e">
        <f t="shared" si="24"/>
        <v>#DIV/0!</v>
      </c>
      <c r="W403" s="14" t="e">
        <f t="shared" si="25"/>
        <v>#DIV/0!</v>
      </c>
      <c r="X403" s="14" t="e">
        <f t="shared" si="26"/>
        <v>#DIV/0!</v>
      </c>
      <c r="Y403" s="48"/>
      <c r="Z403" s="33"/>
    </row>
    <row r="404" spans="1:26" ht="12.7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4"/>
      <c r="P404" s="45"/>
      <c r="Q404" s="5"/>
      <c r="R404" s="5"/>
      <c r="S404" s="5"/>
      <c r="T404" s="5"/>
      <c r="U404" s="10">
        <f t="shared" si="27"/>
        <v>392</v>
      </c>
      <c r="V404" s="30" t="e">
        <f t="shared" si="24"/>
        <v>#DIV/0!</v>
      </c>
      <c r="W404" s="14" t="e">
        <f t="shared" si="25"/>
        <v>#DIV/0!</v>
      </c>
      <c r="X404" s="14" t="e">
        <f t="shared" si="26"/>
        <v>#DIV/0!</v>
      </c>
      <c r="Y404" s="48"/>
      <c r="Z404" s="33"/>
    </row>
    <row r="405" spans="1:26" ht="12.7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4"/>
      <c r="P405" s="45"/>
      <c r="Q405" s="5"/>
      <c r="R405" s="5"/>
      <c r="S405" s="5"/>
      <c r="T405" s="5"/>
      <c r="U405" s="10">
        <f t="shared" si="27"/>
        <v>393</v>
      </c>
      <c r="V405" s="30" t="e">
        <f t="shared" si="24"/>
        <v>#DIV/0!</v>
      </c>
      <c r="W405" s="14" t="e">
        <f t="shared" si="25"/>
        <v>#DIV/0!</v>
      </c>
      <c r="X405" s="14" t="e">
        <f t="shared" si="26"/>
        <v>#DIV/0!</v>
      </c>
      <c r="Y405" s="48"/>
      <c r="Z405" s="33"/>
    </row>
    <row r="406" spans="1:26" ht="12.7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4"/>
      <c r="P406" s="45"/>
      <c r="Q406" s="5"/>
      <c r="R406" s="5"/>
      <c r="S406" s="5"/>
      <c r="T406" s="5"/>
      <c r="U406" s="10">
        <f t="shared" si="27"/>
        <v>394</v>
      </c>
      <c r="V406" s="30" t="e">
        <f t="shared" si="24"/>
        <v>#DIV/0!</v>
      </c>
      <c r="W406" s="14" t="e">
        <f t="shared" si="25"/>
        <v>#DIV/0!</v>
      </c>
      <c r="X406" s="14" t="e">
        <f t="shared" si="26"/>
        <v>#DIV/0!</v>
      </c>
      <c r="Y406" s="48"/>
      <c r="Z406" s="33"/>
    </row>
    <row r="407" spans="1:26" ht="12.7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4"/>
      <c r="P407" s="45"/>
      <c r="Q407" s="5"/>
      <c r="R407" s="5"/>
      <c r="S407" s="5"/>
      <c r="T407" s="5"/>
      <c r="U407" s="10">
        <f t="shared" si="27"/>
        <v>395</v>
      </c>
      <c r="V407" s="30" t="e">
        <f t="shared" si="24"/>
        <v>#DIV/0!</v>
      </c>
      <c r="W407" s="14" t="e">
        <f t="shared" si="25"/>
        <v>#DIV/0!</v>
      </c>
      <c r="X407" s="14" t="e">
        <f t="shared" si="26"/>
        <v>#DIV/0!</v>
      </c>
      <c r="Y407" s="48"/>
      <c r="Z407" s="33"/>
    </row>
    <row r="408" spans="1:26" ht="12.7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4"/>
      <c r="P408" s="45"/>
      <c r="Q408" s="5"/>
      <c r="R408" s="5"/>
      <c r="S408" s="5"/>
      <c r="T408" s="5"/>
      <c r="U408" s="10">
        <f t="shared" si="27"/>
        <v>396</v>
      </c>
      <c r="V408" s="30" t="e">
        <f t="shared" si="24"/>
        <v>#DIV/0!</v>
      </c>
      <c r="W408" s="14" t="e">
        <f t="shared" si="25"/>
        <v>#DIV/0!</v>
      </c>
      <c r="X408" s="14" t="e">
        <f t="shared" si="26"/>
        <v>#DIV/0!</v>
      </c>
      <c r="Y408" s="48"/>
      <c r="Z408" s="33"/>
    </row>
    <row r="409" spans="1:26" ht="12.7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4"/>
      <c r="P409" s="45"/>
      <c r="Q409" s="5"/>
      <c r="R409" s="5"/>
      <c r="S409" s="5"/>
      <c r="T409" s="5"/>
      <c r="U409" s="10">
        <f t="shared" si="27"/>
        <v>397</v>
      </c>
      <c r="V409" s="30" t="e">
        <f t="shared" si="24"/>
        <v>#DIV/0!</v>
      </c>
      <c r="W409" s="14" t="e">
        <f t="shared" si="25"/>
        <v>#DIV/0!</v>
      </c>
      <c r="X409" s="14" t="e">
        <f t="shared" si="26"/>
        <v>#DIV/0!</v>
      </c>
      <c r="Y409" s="48"/>
      <c r="Z409" s="33"/>
    </row>
    <row r="410" spans="1:26" ht="12.7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4"/>
      <c r="P410" s="45"/>
      <c r="Q410" s="5"/>
      <c r="R410" s="5"/>
      <c r="S410" s="5"/>
      <c r="T410" s="5"/>
      <c r="U410" s="10">
        <f t="shared" si="27"/>
        <v>398</v>
      </c>
      <c r="V410" s="30" t="e">
        <f t="shared" si="24"/>
        <v>#DIV/0!</v>
      </c>
      <c r="W410" s="14" t="e">
        <f t="shared" si="25"/>
        <v>#DIV/0!</v>
      </c>
      <c r="X410" s="14" t="e">
        <f t="shared" si="26"/>
        <v>#DIV/0!</v>
      </c>
      <c r="Y410" s="48"/>
      <c r="Z410" s="33"/>
    </row>
    <row r="411" spans="1:26" ht="12.7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4"/>
      <c r="P411" s="45"/>
      <c r="Q411" s="5"/>
      <c r="R411" s="5"/>
      <c r="S411" s="5"/>
      <c r="T411" s="5"/>
      <c r="U411" s="10">
        <f t="shared" si="27"/>
        <v>399</v>
      </c>
      <c r="V411" s="30" t="e">
        <f t="shared" si="24"/>
        <v>#DIV/0!</v>
      </c>
      <c r="W411" s="14" t="e">
        <f t="shared" si="25"/>
        <v>#DIV/0!</v>
      </c>
      <c r="X411" s="14" t="e">
        <f t="shared" si="26"/>
        <v>#DIV/0!</v>
      </c>
      <c r="Y411" s="48"/>
      <c r="Z411" s="33"/>
    </row>
    <row r="412" spans="1:26" ht="12.7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4"/>
      <c r="P412" s="45"/>
      <c r="Q412" s="5"/>
      <c r="R412" s="5"/>
      <c r="S412" s="5"/>
      <c r="T412" s="5"/>
      <c r="U412" s="10">
        <f t="shared" si="27"/>
        <v>400</v>
      </c>
      <c r="V412" s="30" t="e">
        <f t="shared" si="24"/>
        <v>#DIV/0!</v>
      </c>
      <c r="W412" s="14" t="e">
        <f t="shared" si="25"/>
        <v>#DIV/0!</v>
      </c>
      <c r="X412" s="14" t="e">
        <f t="shared" si="26"/>
        <v>#DIV/0!</v>
      </c>
      <c r="Y412" s="48"/>
      <c r="Z412" s="33"/>
    </row>
    <row r="413" spans="1:26" ht="12.7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4"/>
      <c r="P413" s="45"/>
      <c r="Q413" s="5"/>
      <c r="R413" s="5"/>
      <c r="S413" s="5"/>
      <c r="T413" s="5"/>
      <c r="U413" s="10">
        <f t="shared" si="27"/>
        <v>401</v>
      </c>
      <c r="V413" s="30" t="e">
        <f t="shared" si="24"/>
        <v>#DIV/0!</v>
      </c>
      <c r="W413" s="14" t="e">
        <f t="shared" si="25"/>
        <v>#DIV/0!</v>
      </c>
      <c r="X413" s="14" t="e">
        <f t="shared" si="26"/>
        <v>#DIV/0!</v>
      </c>
      <c r="Y413" s="48"/>
      <c r="Z413" s="33"/>
    </row>
    <row r="414" spans="1:26" ht="12.7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4"/>
      <c r="P414" s="45"/>
      <c r="Q414" s="5"/>
      <c r="R414" s="5"/>
      <c r="S414" s="5"/>
      <c r="T414" s="5"/>
      <c r="U414" s="10">
        <f t="shared" si="27"/>
        <v>402</v>
      </c>
      <c r="V414" s="30" t="e">
        <f t="shared" si="24"/>
        <v>#DIV/0!</v>
      </c>
      <c r="W414" s="14" t="e">
        <f t="shared" si="25"/>
        <v>#DIV/0!</v>
      </c>
      <c r="X414" s="14" t="e">
        <f t="shared" si="26"/>
        <v>#DIV/0!</v>
      </c>
      <c r="Y414" s="48"/>
      <c r="Z414" s="33"/>
    </row>
    <row r="415" spans="1:26" ht="12.7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4"/>
      <c r="P415" s="45"/>
      <c r="Q415" s="5"/>
      <c r="R415" s="5"/>
      <c r="S415" s="5"/>
      <c r="T415" s="5"/>
      <c r="U415" s="10">
        <f t="shared" si="27"/>
        <v>403</v>
      </c>
      <c r="V415" s="30" t="e">
        <f t="shared" si="24"/>
        <v>#DIV/0!</v>
      </c>
      <c r="W415" s="14" t="e">
        <f t="shared" si="25"/>
        <v>#DIV/0!</v>
      </c>
      <c r="X415" s="14" t="e">
        <f t="shared" si="26"/>
        <v>#DIV/0!</v>
      </c>
      <c r="Y415" s="48"/>
      <c r="Z415" s="33"/>
    </row>
    <row r="416" spans="1:26" ht="12.7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4"/>
      <c r="P416" s="45"/>
      <c r="Q416" s="5"/>
      <c r="R416" s="5"/>
      <c r="S416" s="5"/>
      <c r="T416" s="5"/>
      <c r="U416" s="10">
        <f t="shared" si="27"/>
        <v>404</v>
      </c>
      <c r="V416" s="30" t="e">
        <f t="shared" si="24"/>
        <v>#DIV/0!</v>
      </c>
      <c r="W416" s="14" t="e">
        <f t="shared" si="25"/>
        <v>#DIV/0!</v>
      </c>
      <c r="X416" s="14" t="e">
        <f t="shared" si="26"/>
        <v>#DIV/0!</v>
      </c>
      <c r="Y416" s="48"/>
      <c r="Z416" s="33"/>
    </row>
    <row r="417" spans="1:26" ht="12.7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4"/>
      <c r="P417" s="45"/>
      <c r="Q417" s="5"/>
      <c r="R417" s="5"/>
      <c r="S417" s="5"/>
      <c r="T417" s="5"/>
      <c r="U417" s="10">
        <f t="shared" si="27"/>
        <v>405</v>
      </c>
      <c r="V417" s="30" t="e">
        <f t="shared" si="24"/>
        <v>#DIV/0!</v>
      </c>
      <c r="W417" s="14" t="e">
        <f t="shared" si="25"/>
        <v>#DIV/0!</v>
      </c>
      <c r="X417" s="14" t="e">
        <f t="shared" si="26"/>
        <v>#DIV/0!</v>
      </c>
      <c r="Y417" s="48"/>
      <c r="Z417" s="33"/>
    </row>
    <row r="418" spans="1:26" ht="12.7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4"/>
      <c r="P418" s="45"/>
      <c r="Q418" s="5"/>
      <c r="R418" s="5"/>
      <c r="S418" s="5"/>
      <c r="T418" s="5"/>
      <c r="U418" s="10">
        <f t="shared" si="27"/>
        <v>406</v>
      </c>
      <c r="V418" s="30" t="e">
        <f t="shared" si="24"/>
        <v>#DIV/0!</v>
      </c>
      <c r="W418" s="14" t="e">
        <f t="shared" si="25"/>
        <v>#DIV/0!</v>
      </c>
      <c r="X418" s="14" t="e">
        <f t="shared" si="26"/>
        <v>#DIV/0!</v>
      </c>
      <c r="Y418" s="48"/>
      <c r="Z418" s="33"/>
    </row>
    <row r="419" spans="1:26" ht="12.7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4"/>
      <c r="P419" s="45"/>
      <c r="Q419" s="5"/>
      <c r="R419" s="5"/>
      <c r="S419" s="5"/>
      <c r="T419" s="5"/>
      <c r="U419" s="10">
        <f t="shared" si="27"/>
        <v>407</v>
      </c>
      <c r="V419" s="30" t="e">
        <f t="shared" si="24"/>
        <v>#DIV/0!</v>
      </c>
      <c r="W419" s="14" t="e">
        <f t="shared" si="25"/>
        <v>#DIV/0!</v>
      </c>
      <c r="X419" s="14" t="e">
        <f t="shared" si="26"/>
        <v>#DIV/0!</v>
      </c>
      <c r="Y419" s="48"/>
      <c r="Z419" s="33"/>
    </row>
    <row r="420" spans="1:26" ht="12.7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4"/>
      <c r="P420" s="45"/>
      <c r="Q420" s="5"/>
      <c r="R420" s="5"/>
      <c r="S420" s="5"/>
      <c r="T420" s="5"/>
      <c r="U420" s="10">
        <f t="shared" si="27"/>
        <v>408</v>
      </c>
      <c r="V420" s="30" t="e">
        <f t="shared" si="24"/>
        <v>#DIV/0!</v>
      </c>
      <c r="W420" s="14" t="e">
        <f t="shared" si="25"/>
        <v>#DIV/0!</v>
      </c>
      <c r="X420" s="14" t="e">
        <f t="shared" si="26"/>
        <v>#DIV/0!</v>
      </c>
      <c r="Y420" s="48"/>
      <c r="Z420" s="33"/>
    </row>
    <row r="421" spans="1:26" ht="12.7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4"/>
      <c r="P421" s="45"/>
      <c r="Q421" s="5"/>
      <c r="R421" s="5"/>
      <c r="S421" s="5"/>
      <c r="T421" s="5"/>
      <c r="U421" s="10">
        <f t="shared" si="27"/>
        <v>409</v>
      </c>
      <c r="V421" s="30" t="e">
        <f t="shared" si="24"/>
        <v>#DIV/0!</v>
      </c>
      <c r="W421" s="14" t="e">
        <f t="shared" si="25"/>
        <v>#DIV/0!</v>
      </c>
      <c r="X421" s="14" t="e">
        <f t="shared" si="26"/>
        <v>#DIV/0!</v>
      </c>
      <c r="Y421" s="48"/>
      <c r="Z421" s="33"/>
    </row>
    <row r="422" spans="1:26" ht="12.7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4"/>
      <c r="P422" s="45"/>
      <c r="Q422" s="5"/>
      <c r="R422" s="5"/>
      <c r="S422" s="5"/>
      <c r="T422" s="5"/>
      <c r="U422" s="10">
        <f t="shared" si="27"/>
        <v>410</v>
      </c>
      <c r="V422" s="30" t="e">
        <f t="shared" si="24"/>
        <v>#DIV/0!</v>
      </c>
      <c r="W422" s="14" t="e">
        <f t="shared" si="25"/>
        <v>#DIV/0!</v>
      </c>
      <c r="X422" s="14" t="e">
        <f t="shared" si="26"/>
        <v>#DIV/0!</v>
      </c>
      <c r="Y422" s="48"/>
      <c r="Z422" s="33"/>
    </row>
    <row r="423" spans="1:26" ht="12.7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4"/>
      <c r="P423" s="45"/>
      <c r="Q423" s="5"/>
      <c r="R423" s="5"/>
      <c r="S423" s="5"/>
      <c r="T423" s="5"/>
      <c r="U423" s="10">
        <f t="shared" si="27"/>
        <v>411</v>
      </c>
      <c r="V423" s="30" t="e">
        <f t="shared" si="24"/>
        <v>#DIV/0!</v>
      </c>
      <c r="W423" s="14" t="e">
        <f t="shared" si="25"/>
        <v>#DIV/0!</v>
      </c>
      <c r="X423" s="14" t="e">
        <f t="shared" si="26"/>
        <v>#DIV/0!</v>
      </c>
      <c r="Y423" s="48"/>
      <c r="Z423" s="33"/>
    </row>
    <row r="424" spans="1:26" ht="12.7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4"/>
      <c r="P424" s="45"/>
      <c r="Q424" s="5"/>
      <c r="R424" s="5"/>
      <c r="S424" s="5"/>
      <c r="T424" s="5"/>
      <c r="U424" s="10">
        <f t="shared" si="27"/>
        <v>412</v>
      </c>
      <c r="V424" s="30" t="e">
        <f t="shared" si="24"/>
        <v>#DIV/0!</v>
      </c>
      <c r="W424" s="14" t="e">
        <f t="shared" si="25"/>
        <v>#DIV/0!</v>
      </c>
      <c r="X424" s="14" t="e">
        <f t="shared" si="26"/>
        <v>#DIV/0!</v>
      </c>
      <c r="Y424" s="48"/>
      <c r="Z424" s="33"/>
    </row>
    <row r="425" spans="1:26" ht="12.7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4"/>
      <c r="P425" s="45"/>
      <c r="Q425" s="5"/>
      <c r="R425" s="5"/>
      <c r="S425" s="5"/>
      <c r="T425" s="5"/>
      <c r="U425" s="10">
        <f t="shared" si="27"/>
        <v>413</v>
      </c>
      <c r="V425" s="30" t="e">
        <f t="shared" si="24"/>
        <v>#DIV/0!</v>
      </c>
      <c r="W425" s="14" t="e">
        <f t="shared" si="25"/>
        <v>#DIV/0!</v>
      </c>
      <c r="X425" s="14" t="e">
        <f t="shared" si="26"/>
        <v>#DIV/0!</v>
      </c>
      <c r="Y425" s="48"/>
      <c r="Z425" s="33"/>
    </row>
    <row r="426" spans="1:26" ht="12.7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4"/>
      <c r="P426" s="45"/>
      <c r="Q426" s="5"/>
      <c r="R426" s="5"/>
      <c r="S426" s="5"/>
      <c r="T426" s="5"/>
      <c r="U426" s="10">
        <f t="shared" si="27"/>
        <v>414</v>
      </c>
      <c r="V426" s="30" t="e">
        <f t="shared" si="24"/>
        <v>#DIV/0!</v>
      </c>
      <c r="W426" s="14" t="e">
        <f t="shared" si="25"/>
        <v>#DIV/0!</v>
      </c>
      <c r="X426" s="14" t="e">
        <f t="shared" si="26"/>
        <v>#DIV/0!</v>
      </c>
      <c r="Y426" s="48"/>
      <c r="Z426" s="33"/>
    </row>
    <row r="427" spans="1:26" ht="12.7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4"/>
      <c r="P427" s="45"/>
      <c r="Q427" s="5"/>
      <c r="R427" s="5"/>
      <c r="S427" s="5"/>
      <c r="T427" s="5"/>
      <c r="U427" s="10">
        <f t="shared" si="27"/>
        <v>415</v>
      </c>
      <c r="V427" s="30" t="e">
        <f t="shared" si="24"/>
        <v>#DIV/0!</v>
      </c>
      <c r="W427" s="14" t="e">
        <f t="shared" si="25"/>
        <v>#DIV/0!</v>
      </c>
      <c r="X427" s="14" t="e">
        <f t="shared" si="26"/>
        <v>#DIV/0!</v>
      </c>
      <c r="Y427" s="48"/>
      <c r="Z427" s="33"/>
    </row>
    <row r="428" spans="1:26" ht="12.7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4"/>
      <c r="P428" s="45"/>
      <c r="Q428" s="5"/>
      <c r="R428" s="5"/>
      <c r="S428" s="5"/>
      <c r="T428" s="5"/>
      <c r="U428" s="10">
        <f t="shared" si="27"/>
        <v>416</v>
      </c>
      <c r="V428" s="30" t="e">
        <f t="shared" si="24"/>
        <v>#DIV/0!</v>
      </c>
      <c r="W428" s="14" t="e">
        <f t="shared" si="25"/>
        <v>#DIV/0!</v>
      </c>
      <c r="X428" s="14" t="e">
        <f t="shared" si="26"/>
        <v>#DIV/0!</v>
      </c>
      <c r="Y428" s="48"/>
      <c r="Z428" s="33"/>
    </row>
    <row r="429" spans="1:26" ht="12.7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4"/>
      <c r="P429" s="45"/>
      <c r="Q429" s="5"/>
      <c r="R429" s="5"/>
      <c r="S429" s="5"/>
      <c r="T429" s="5"/>
      <c r="U429" s="10">
        <f t="shared" si="27"/>
        <v>417</v>
      </c>
      <c r="V429" s="30" t="e">
        <f t="shared" si="24"/>
        <v>#DIV/0!</v>
      </c>
      <c r="W429" s="14" t="e">
        <f t="shared" si="25"/>
        <v>#DIV/0!</v>
      </c>
      <c r="X429" s="14" t="e">
        <f t="shared" si="26"/>
        <v>#DIV/0!</v>
      </c>
      <c r="Y429" s="48"/>
      <c r="Z429" s="33"/>
    </row>
    <row r="430" spans="1:26" ht="12.7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4"/>
      <c r="P430" s="45"/>
      <c r="Q430" s="5"/>
      <c r="R430" s="5"/>
      <c r="S430" s="5"/>
      <c r="T430" s="5"/>
      <c r="U430" s="10">
        <f t="shared" si="27"/>
        <v>418</v>
      </c>
      <c r="V430" s="30" t="e">
        <f t="shared" si="24"/>
        <v>#DIV/0!</v>
      </c>
      <c r="W430" s="14" t="e">
        <f t="shared" si="25"/>
        <v>#DIV/0!</v>
      </c>
      <c r="X430" s="14" t="e">
        <f t="shared" si="26"/>
        <v>#DIV/0!</v>
      </c>
      <c r="Y430" s="48"/>
      <c r="Z430" s="33"/>
    </row>
    <row r="431" spans="1:26" ht="12.7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4"/>
      <c r="P431" s="45"/>
      <c r="Q431" s="5"/>
      <c r="R431" s="5"/>
      <c r="S431" s="5"/>
      <c r="T431" s="5"/>
      <c r="U431" s="10">
        <f t="shared" si="27"/>
        <v>419</v>
      </c>
      <c r="V431" s="30" t="e">
        <f t="shared" si="24"/>
        <v>#DIV/0!</v>
      </c>
      <c r="W431" s="14" t="e">
        <f t="shared" si="25"/>
        <v>#DIV/0!</v>
      </c>
      <c r="X431" s="14" t="e">
        <f t="shared" si="26"/>
        <v>#DIV/0!</v>
      </c>
      <c r="Y431" s="48"/>
      <c r="Z431" s="33"/>
    </row>
    <row r="432" spans="1:26" ht="12.7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4"/>
      <c r="P432" s="45"/>
      <c r="Q432" s="5"/>
      <c r="R432" s="5"/>
      <c r="S432" s="5"/>
      <c r="T432" s="5"/>
      <c r="U432" s="10">
        <f t="shared" si="27"/>
        <v>420</v>
      </c>
      <c r="V432" s="30" t="e">
        <f t="shared" si="24"/>
        <v>#DIV/0!</v>
      </c>
      <c r="W432" s="14" t="e">
        <f t="shared" si="25"/>
        <v>#DIV/0!</v>
      </c>
      <c r="X432" s="14" t="e">
        <f t="shared" si="26"/>
        <v>#DIV/0!</v>
      </c>
      <c r="Y432" s="48"/>
      <c r="Z432" s="33"/>
    </row>
    <row r="433" spans="1:26" ht="12.7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4"/>
      <c r="P433" s="45"/>
      <c r="Q433" s="5"/>
      <c r="R433" s="5"/>
      <c r="S433" s="5"/>
      <c r="T433" s="5"/>
      <c r="U433" s="10">
        <f t="shared" si="27"/>
        <v>421</v>
      </c>
      <c r="V433" s="30" t="e">
        <f t="shared" si="24"/>
        <v>#DIV/0!</v>
      </c>
      <c r="W433" s="14" t="e">
        <f t="shared" si="25"/>
        <v>#DIV/0!</v>
      </c>
      <c r="X433" s="14" t="e">
        <f t="shared" si="26"/>
        <v>#DIV/0!</v>
      </c>
      <c r="Y433" s="48"/>
      <c r="Z433" s="33"/>
    </row>
    <row r="434" spans="1:26" ht="12.7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4"/>
      <c r="P434" s="45"/>
      <c r="Q434" s="5"/>
      <c r="R434" s="5"/>
      <c r="S434" s="5"/>
      <c r="T434" s="5"/>
      <c r="U434" s="10">
        <f t="shared" si="27"/>
        <v>422</v>
      </c>
      <c r="V434" s="30" t="e">
        <f t="shared" si="24"/>
        <v>#DIV/0!</v>
      </c>
      <c r="W434" s="14" t="e">
        <f t="shared" si="25"/>
        <v>#DIV/0!</v>
      </c>
      <c r="X434" s="14" t="e">
        <f t="shared" si="26"/>
        <v>#DIV/0!</v>
      </c>
      <c r="Y434" s="48"/>
      <c r="Z434" s="33"/>
    </row>
    <row r="435" spans="1:26" ht="12.7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4"/>
      <c r="P435" s="45"/>
      <c r="Q435" s="5"/>
      <c r="R435" s="5"/>
      <c r="S435" s="5"/>
      <c r="T435" s="5"/>
      <c r="U435" s="10">
        <f t="shared" si="27"/>
        <v>423</v>
      </c>
      <c r="V435" s="30" t="e">
        <f t="shared" si="24"/>
        <v>#DIV/0!</v>
      </c>
      <c r="W435" s="14" t="e">
        <f t="shared" si="25"/>
        <v>#DIV/0!</v>
      </c>
      <c r="X435" s="14" t="e">
        <f t="shared" si="26"/>
        <v>#DIV/0!</v>
      </c>
      <c r="Y435" s="48"/>
      <c r="Z435" s="33"/>
    </row>
    <row r="436" spans="1:26" ht="12.7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4"/>
      <c r="P436" s="45"/>
      <c r="Q436" s="5"/>
      <c r="R436" s="5"/>
      <c r="S436" s="5"/>
      <c r="T436" s="5"/>
      <c r="U436" s="10">
        <f t="shared" si="27"/>
        <v>424</v>
      </c>
      <c r="V436" s="30" t="e">
        <f t="shared" si="24"/>
        <v>#DIV/0!</v>
      </c>
      <c r="W436" s="14" t="e">
        <f t="shared" si="25"/>
        <v>#DIV/0!</v>
      </c>
      <c r="X436" s="14" t="e">
        <f t="shared" si="26"/>
        <v>#DIV/0!</v>
      </c>
      <c r="Y436" s="48"/>
      <c r="Z436" s="33"/>
    </row>
    <row r="437" spans="1:26" ht="12.7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4"/>
      <c r="P437" s="45"/>
      <c r="Q437" s="5"/>
      <c r="R437" s="5"/>
      <c r="S437" s="5"/>
      <c r="T437" s="5"/>
      <c r="U437" s="10">
        <f t="shared" si="27"/>
        <v>425</v>
      </c>
      <c r="V437" s="30" t="e">
        <f t="shared" si="24"/>
        <v>#DIV/0!</v>
      </c>
      <c r="W437" s="14" t="e">
        <f t="shared" si="25"/>
        <v>#DIV/0!</v>
      </c>
      <c r="X437" s="14" t="e">
        <f t="shared" si="26"/>
        <v>#DIV/0!</v>
      </c>
      <c r="Y437" s="48"/>
      <c r="Z437" s="33"/>
    </row>
    <row r="438" spans="1:26" ht="12.7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4"/>
      <c r="P438" s="45"/>
      <c r="Q438" s="5"/>
      <c r="R438" s="5"/>
      <c r="S438" s="5"/>
      <c r="T438" s="5"/>
      <c r="U438" s="10">
        <f t="shared" si="27"/>
        <v>426</v>
      </c>
      <c r="V438" s="30" t="e">
        <f t="shared" si="24"/>
        <v>#DIV/0!</v>
      </c>
      <c r="W438" s="14" t="e">
        <f t="shared" si="25"/>
        <v>#DIV/0!</v>
      </c>
      <c r="X438" s="14" t="e">
        <f t="shared" si="26"/>
        <v>#DIV/0!</v>
      </c>
      <c r="Y438" s="48"/>
      <c r="Z438" s="33"/>
    </row>
    <row r="439" spans="1:26" ht="12.7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4"/>
      <c r="P439" s="45"/>
      <c r="Q439" s="5"/>
      <c r="R439" s="5"/>
      <c r="S439" s="5"/>
      <c r="T439" s="5"/>
      <c r="U439" s="10">
        <f t="shared" si="27"/>
        <v>427</v>
      </c>
      <c r="V439" s="30" t="e">
        <f t="shared" si="24"/>
        <v>#DIV/0!</v>
      </c>
      <c r="W439" s="14" t="e">
        <f t="shared" si="25"/>
        <v>#DIV/0!</v>
      </c>
      <c r="X439" s="14" t="e">
        <f t="shared" si="26"/>
        <v>#DIV/0!</v>
      </c>
      <c r="Y439" s="48"/>
      <c r="Z439" s="33"/>
    </row>
    <row r="440" spans="1:26" ht="12.7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4"/>
      <c r="P440" s="45"/>
      <c r="Q440" s="5"/>
      <c r="R440" s="5"/>
      <c r="S440" s="5"/>
      <c r="T440" s="5"/>
      <c r="U440" s="10">
        <f t="shared" si="27"/>
        <v>428</v>
      </c>
      <c r="V440" s="30" t="e">
        <f t="shared" si="24"/>
        <v>#DIV/0!</v>
      </c>
      <c r="W440" s="14" t="e">
        <f t="shared" si="25"/>
        <v>#DIV/0!</v>
      </c>
      <c r="X440" s="14" t="e">
        <f t="shared" si="26"/>
        <v>#DIV/0!</v>
      </c>
      <c r="Y440" s="48"/>
      <c r="Z440" s="33"/>
    </row>
    <row r="441" spans="1:26" ht="12.7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4"/>
      <c r="P441" s="45"/>
      <c r="Q441" s="5"/>
      <c r="R441" s="5"/>
      <c r="S441" s="5"/>
      <c r="T441" s="5"/>
      <c r="U441" s="10">
        <f t="shared" si="27"/>
        <v>429</v>
      </c>
      <c r="V441" s="30" t="e">
        <f t="shared" si="24"/>
        <v>#DIV/0!</v>
      </c>
      <c r="W441" s="14" t="e">
        <f t="shared" si="25"/>
        <v>#DIV/0!</v>
      </c>
      <c r="X441" s="14" t="e">
        <f t="shared" si="26"/>
        <v>#DIV/0!</v>
      </c>
      <c r="Y441" s="48"/>
      <c r="Z441" s="33"/>
    </row>
    <row r="442" spans="1:26" ht="12.7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4"/>
      <c r="P442" s="45"/>
      <c r="Q442" s="5"/>
      <c r="R442" s="5"/>
      <c r="S442" s="5"/>
      <c r="T442" s="5"/>
      <c r="U442" s="10">
        <f t="shared" si="27"/>
        <v>430</v>
      </c>
      <c r="V442" s="30" t="e">
        <f t="shared" si="24"/>
        <v>#DIV/0!</v>
      </c>
      <c r="W442" s="14" t="e">
        <f t="shared" si="25"/>
        <v>#DIV/0!</v>
      </c>
      <c r="X442" s="14" t="e">
        <f t="shared" si="26"/>
        <v>#DIV/0!</v>
      </c>
      <c r="Y442" s="48"/>
      <c r="Z442" s="33"/>
    </row>
    <row r="443" spans="1:26" ht="12.7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4"/>
      <c r="P443" s="45"/>
      <c r="Q443" s="5"/>
      <c r="R443" s="5"/>
      <c r="S443" s="5"/>
      <c r="T443" s="5"/>
      <c r="U443" s="10">
        <f t="shared" si="27"/>
        <v>431</v>
      </c>
      <c r="V443" s="30" t="e">
        <f t="shared" si="24"/>
        <v>#DIV/0!</v>
      </c>
      <c r="W443" s="14" t="e">
        <f t="shared" si="25"/>
        <v>#DIV/0!</v>
      </c>
      <c r="X443" s="14" t="e">
        <f t="shared" si="26"/>
        <v>#DIV/0!</v>
      </c>
      <c r="Y443" s="48"/>
      <c r="Z443" s="33"/>
    </row>
    <row r="444" spans="1:26" ht="12.7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4"/>
      <c r="P444" s="45"/>
      <c r="Q444" s="5"/>
      <c r="R444" s="5"/>
      <c r="S444" s="5"/>
      <c r="T444" s="5"/>
      <c r="U444" s="10">
        <f t="shared" si="27"/>
        <v>432</v>
      </c>
      <c r="V444" s="30" t="e">
        <f t="shared" si="24"/>
        <v>#DIV/0!</v>
      </c>
      <c r="W444" s="14" t="e">
        <f t="shared" si="25"/>
        <v>#DIV/0!</v>
      </c>
      <c r="X444" s="14" t="e">
        <f t="shared" si="26"/>
        <v>#DIV/0!</v>
      </c>
      <c r="Y444" s="48"/>
      <c r="Z444" s="33"/>
    </row>
    <row r="445" spans="1:26" ht="12.7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4"/>
      <c r="P445" s="45"/>
      <c r="Q445" s="5"/>
      <c r="R445" s="5"/>
      <c r="S445" s="5"/>
      <c r="T445" s="5"/>
      <c r="U445" s="10">
        <f t="shared" si="27"/>
        <v>433</v>
      </c>
      <c r="V445" s="30" t="e">
        <f t="shared" si="24"/>
        <v>#DIV/0!</v>
      </c>
      <c r="W445" s="14" t="e">
        <f t="shared" si="25"/>
        <v>#DIV/0!</v>
      </c>
      <c r="X445" s="14" t="e">
        <f t="shared" si="26"/>
        <v>#DIV/0!</v>
      </c>
      <c r="Y445" s="48"/>
      <c r="Z445" s="33"/>
    </row>
    <row r="446" spans="1:26" ht="12.7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4"/>
      <c r="P446" s="45"/>
      <c r="Q446" s="5"/>
      <c r="R446" s="5"/>
      <c r="S446" s="5"/>
      <c r="T446" s="5"/>
      <c r="U446" s="10">
        <f t="shared" si="27"/>
        <v>434</v>
      </c>
      <c r="V446" s="30" t="e">
        <f t="shared" si="24"/>
        <v>#DIV/0!</v>
      </c>
      <c r="W446" s="14" t="e">
        <f t="shared" si="25"/>
        <v>#DIV/0!</v>
      </c>
      <c r="X446" s="14" t="e">
        <f t="shared" si="26"/>
        <v>#DIV/0!</v>
      </c>
      <c r="Y446" s="48"/>
      <c r="Z446" s="33"/>
    </row>
    <row r="447" spans="1:26" ht="12.7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4"/>
      <c r="P447" s="45"/>
      <c r="Q447" s="5"/>
      <c r="R447" s="5"/>
      <c r="S447" s="5"/>
      <c r="T447" s="5"/>
      <c r="U447" s="10">
        <f t="shared" si="27"/>
        <v>435</v>
      </c>
      <c r="V447" s="30" t="e">
        <f t="shared" si="24"/>
        <v>#DIV/0!</v>
      </c>
      <c r="W447" s="14" t="e">
        <f t="shared" si="25"/>
        <v>#DIV/0!</v>
      </c>
      <c r="X447" s="14" t="e">
        <f t="shared" si="26"/>
        <v>#DIV/0!</v>
      </c>
      <c r="Y447" s="48"/>
      <c r="Z447" s="33"/>
    </row>
    <row r="448" spans="1:26" ht="12.7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4"/>
      <c r="P448" s="45"/>
      <c r="Q448" s="5"/>
      <c r="R448" s="5"/>
      <c r="S448" s="5"/>
      <c r="T448" s="5"/>
      <c r="U448" s="10">
        <f t="shared" si="27"/>
        <v>436</v>
      </c>
      <c r="V448" s="30" t="e">
        <f t="shared" si="24"/>
        <v>#DIV/0!</v>
      </c>
      <c r="W448" s="14" t="e">
        <f t="shared" si="25"/>
        <v>#DIV/0!</v>
      </c>
      <c r="X448" s="14" t="e">
        <f t="shared" si="26"/>
        <v>#DIV/0!</v>
      </c>
      <c r="Y448" s="48"/>
      <c r="Z448" s="33"/>
    </row>
    <row r="449" spans="1:26" ht="12.7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4"/>
      <c r="P449" s="45"/>
      <c r="Q449" s="5"/>
      <c r="R449" s="5"/>
      <c r="S449" s="5"/>
      <c r="T449" s="5"/>
      <c r="U449" s="10">
        <f t="shared" si="27"/>
        <v>437</v>
      </c>
      <c r="V449" s="30" t="e">
        <f t="shared" si="24"/>
        <v>#DIV/0!</v>
      </c>
      <c r="W449" s="14" t="e">
        <f t="shared" si="25"/>
        <v>#DIV/0!</v>
      </c>
      <c r="X449" s="14" t="e">
        <f t="shared" si="26"/>
        <v>#DIV/0!</v>
      </c>
      <c r="Y449" s="48"/>
      <c r="Z449" s="33"/>
    </row>
    <row r="450" spans="1:26" ht="12.7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4"/>
      <c r="P450" s="45"/>
      <c r="Q450" s="5"/>
      <c r="R450" s="5"/>
      <c r="S450" s="5"/>
      <c r="T450" s="5"/>
      <c r="U450" s="10">
        <f t="shared" si="27"/>
        <v>438</v>
      </c>
      <c r="V450" s="30" t="e">
        <f t="shared" si="24"/>
        <v>#DIV/0!</v>
      </c>
      <c r="W450" s="14" t="e">
        <f t="shared" si="25"/>
        <v>#DIV/0!</v>
      </c>
      <c r="X450" s="14" t="e">
        <f t="shared" si="26"/>
        <v>#DIV/0!</v>
      </c>
      <c r="Y450" s="48"/>
      <c r="Z450" s="33"/>
    </row>
    <row r="451" spans="1:26" ht="12.7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4"/>
      <c r="P451" s="45"/>
      <c r="Q451" s="5"/>
      <c r="R451" s="5"/>
      <c r="S451" s="5"/>
      <c r="T451" s="5"/>
      <c r="U451" s="10">
        <f t="shared" si="27"/>
        <v>439</v>
      </c>
      <c r="V451" s="30" t="e">
        <f t="shared" si="24"/>
        <v>#DIV/0!</v>
      </c>
      <c r="W451" s="14" t="e">
        <f t="shared" si="25"/>
        <v>#DIV/0!</v>
      </c>
      <c r="X451" s="14" t="e">
        <f t="shared" si="26"/>
        <v>#DIV/0!</v>
      </c>
      <c r="Y451" s="48"/>
      <c r="Z451" s="33"/>
    </row>
    <row r="452" spans="1:26" ht="12.7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4"/>
      <c r="P452" s="45"/>
      <c r="Q452" s="5"/>
      <c r="R452" s="5"/>
      <c r="S452" s="5"/>
      <c r="T452" s="5"/>
      <c r="U452" s="10">
        <f t="shared" si="27"/>
        <v>440</v>
      </c>
      <c r="V452" s="30" t="e">
        <f t="shared" si="24"/>
        <v>#DIV/0!</v>
      </c>
      <c r="W452" s="14" t="e">
        <f t="shared" si="25"/>
        <v>#DIV/0!</v>
      </c>
      <c r="X452" s="14" t="e">
        <f t="shared" si="26"/>
        <v>#DIV/0!</v>
      </c>
      <c r="Y452" s="48"/>
      <c r="Z452" s="33"/>
    </row>
    <row r="453" spans="1:26" ht="12.7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4"/>
      <c r="P453" s="45"/>
      <c r="Q453" s="5"/>
      <c r="R453" s="5"/>
      <c r="S453" s="5"/>
      <c r="T453" s="5"/>
      <c r="U453" s="10">
        <f t="shared" si="27"/>
        <v>441</v>
      </c>
      <c r="V453" s="30" t="e">
        <f t="shared" si="24"/>
        <v>#DIV/0!</v>
      </c>
      <c r="W453" s="14" t="e">
        <f t="shared" si="25"/>
        <v>#DIV/0!</v>
      </c>
      <c r="X453" s="14" t="e">
        <f t="shared" si="26"/>
        <v>#DIV/0!</v>
      </c>
      <c r="Y453" s="48"/>
      <c r="Z453" s="33"/>
    </row>
    <row r="454" spans="1:26" ht="12.7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4"/>
      <c r="P454" s="45"/>
      <c r="Q454" s="5"/>
      <c r="R454" s="5"/>
      <c r="S454" s="5"/>
      <c r="T454" s="5"/>
      <c r="U454" s="10">
        <f t="shared" si="27"/>
        <v>442</v>
      </c>
      <c r="V454" s="30" t="e">
        <f t="shared" si="24"/>
        <v>#DIV/0!</v>
      </c>
      <c r="W454" s="14" t="e">
        <f t="shared" si="25"/>
        <v>#DIV/0!</v>
      </c>
      <c r="X454" s="14" t="e">
        <f t="shared" si="26"/>
        <v>#DIV/0!</v>
      </c>
      <c r="Y454" s="48"/>
      <c r="Z454" s="33"/>
    </row>
    <row r="455" spans="1:26" ht="12.7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4"/>
      <c r="P455" s="45"/>
      <c r="Q455" s="5"/>
      <c r="R455" s="5"/>
      <c r="S455" s="5"/>
      <c r="T455" s="5"/>
      <c r="U455" s="10">
        <f t="shared" si="27"/>
        <v>443</v>
      </c>
      <c r="V455" s="30" t="e">
        <f t="shared" si="24"/>
        <v>#DIV/0!</v>
      </c>
      <c r="W455" s="14" t="e">
        <f t="shared" si="25"/>
        <v>#DIV/0!</v>
      </c>
      <c r="X455" s="14" t="e">
        <f t="shared" si="26"/>
        <v>#DIV/0!</v>
      </c>
      <c r="Y455" s="48"/>
      <c r="Z455" s="33"/>
    </row>
    <row r="456" spans="1:26" ht="12.7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4"/>
      <c r="P456" s="45"/>
      <c r="Q456" s="5"/>
      <c r="R456" s="5"/>
      <c r="S456" s="5"/>
      <c r="T456" s="5"/>
      <c r="U456" s="10">
        <f t="shared" si="27"/>
        <v>444</v>
      </c>
      <c r="V456" s="30" t="e">
        <f t="shared" si="24"/>
        <v>#DIV/0!</v>
      </c>
      <c r="W456" s="14" t="e">
        <f t="shared" si="25"/>
        <v>#DIV/0!</v>
      </c>
      <c r="X456" s="14" t="e">
        <f t="shared" si="26"/>
        <v>#DIV/0!</v>
      </c>
      <c r="Y456" s="48"/>
      <c r="Z456" s="33"/>
    </row>
    <row r="457" spans="1:26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4"/>
      <c r="P457" s="45"/>
      <c r="Q457" s="5"/>
      <c r="R457" s="5"/>
      <c r="S457" s="5"/>
      <c r="T457" s="5"/>
      <c r="U457" s="10">
        <f t="shared" si="27"/>
        <v>445</v>
      </c>
      <c r="V457" s="30" t="e">
        <f t="shared" si="24"/>
        <v>#DIV/0!</v>
      </c>
      <c r="W457" s="14" t="e">
        <f t="shared" si="25"/>
        <v>#DIV/0!</v>
      </c>
      <c r="X457" s="14" t="e">
        <f t="shared" si="26"/>
        <v>#DIV/0!</v>
      </c>
      <c r="Y457" s="48"/>
      <c r="Z457" s="33"/>
    </row>
    <row r="458" spans="1:26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4"/>
      <c r="P458" s="45"/>
      <c r="Q458" s="5"/>
      <c r="R458" s="5"/>
      <c r="S458" s="5"/>
      <c r="T458" s="5"/>
      <c r="U458" s="10">
        <f t="shared" si="27"/>
        <v>446</v>
      </c>
      <c r="V458" s="30" t="e">
        <f t="shared" si="24"/>
        <v>#DIV/0!</v>
      </c>
      <c r="W458" s="14" t="e">
        <f t="shared" si="25"/>
        <v>#DIV/0!</v>
      </c>
      <c r="X458" s="14" t="e">
        <f t="shared" si="26"/>
        <v>#DIV/0!</v>
      </c>
      <c r="Y458" s="48"/>
      <c r="Z458" s="33"/>
    </row>
    <row r="459" spans="1:26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4"/>
      <c r="P459" s="45"/>
      <c r="Q459" s="5"/>
      <c r="R459" s="5"/>
      <c r="S459" s="5"/>
      <c r="T459" s="5"/>
      <c r="U459" s="10">
        <f t="shared" si="27"/>
        <v>447</v>
      </c>
      <c r="V459" s="30" t="e">
        <f t="shared" si="24"/>
        <v>#DIV/0!</v>
      </c>
      <c r="W459" s="14" t="e">
        <f t="shared" si="25"/>
        <v>#DIV/0!</v>
      </c>
      <c r="X459" s="14" t="e">
        <f t="shared" si="26"/>
        <v>#DIV/0!</v>
      </c>
      <c r="Y459" s="48"/>
      <c r="Z459" s="33"/>
    </row>
    <row r="460" spans="1:26" ht="12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4"/>
      <c r="P460" s="45"/>
      <c r="Q460" s="5"/>
      <c r="R460" s="5"/>
      <c r="S460" s="5"/>
      <c r="T460" s="5"/>
      <c r="U460" s="10">
        <f t="shared" si="27"/>
        <v>448</v>
      </c>
      <c r="V460" s="30" t="e">
        <f aca="true" t="shared" si="28" ref="V460:V512">SQRT((W460-SLU_Half_Luff_a_x)^2+(X460-SLU_Half_Luff_a_y)^2)</f>
        <v>#DIV/0!</v>
      </c>
      <c r="W460" s="14" t="e">
        <f t="shared" si="25"/>
        <v>#DIV/0!</v>
      </c>
      <c r="X460" s="14" t="e">
        <f t="shared" si="26"/>
        <v>#DIV/0!</v>
      </c>
      <c r="Y460" s="48"/>
      <c r="Z460" s="33"/>
    </row>
    <row r="461" spans="1:26" ht="12.7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4"/>
      <c r="P461" s="45"/>
      <c r="Q461" s="5"/>
      <c r="R461" s="5"/>
      <c r="S461" s="5"/>
      <c r="T461" s="5"/>
      <c r="U461" s="10">
        <f t="shared" si="27"/>
        <v>449</v>
      </c>
      <c r="V461" s="30" t="e">
        <f t="shared" si="28"/>
        <v>#DIV/0!</v>
      </c>
      <c r="W461" s="14" t="e">
        <f aca="true" t="shared" si="29" ref="W461:W512">Start_for_int_x+U461*Step_Inc*COS(SLE_Mid_Luff_Angle_r)</f>
        <v>#DIV/0!</v>
      </c>
      <c r="X461" s="14" t="e">
        <f aca="true" t="shared" si="30" ref="X461:X512">Start_for_int_y+U461*Step_Inc*SIN(SLE_Mid_Luff_Angle_r)</f>
        <v>#DIV/0!</v>
      </c>
      <c r="Y461" s="48"/>
      <c r="Z461" s="33"/>
    </row>
    <row r="462" spans="1:26" ht="12.7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4"/>
      <c r="P462" s="45"/>
      <c r="Q462" s="5"/>
      <c r="R462" s="5"/>
      <c r="S462" s="5"/>
      <c r="T462" s="5"/>
      <c r="U462" s="10">
        <f aca="true" t="shared" si="31" ref="U462:U512">U461+1</f>
        <v>450</v>
      </c>
      <c r="V462" s="30" t="e">
        <f t="shared" si="28"/>
        <v>#DIV/0!</v>
      </c>
      <c r="W462" s="14" t="e">
        <f t="shared" si="29"/>
        <v>#DIV/0!</v>
      </c>
      <c r="X462" s="14" t="e">
        <f t="shared" si="30"/>
        <v>#DIV/0!</v>
      </c>
      <c r="Y462" s="48"/>
      <c r="Z462" s="33"/>
    </row>
    <row r="463" spans="1:26" ht="12.7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4"/>
      <c r="P463" s="45"/>
      <c r="Q463" s="5"/>
      <c r="R463" s="5"/>
      <c r="S463" s="5"/>
      <c r="T463" s="5"/>
      <c r="U463" s="10">
        <f t="shared" si="31"/>
        <v>451</v>
      </c>
      <c r="V463" s="30" t="e">
        <f t="shared" si="28"/>
        <v>#DIV/0!</v>
      </c>
      <c r="W463" s="14" t="e">
        <f t="shared" si="29"/>
        <v>#DIV/0!</v>
      </c>
      <c r="X463" s="14" t="e">
        <f t="shared" si="30"/>
        <v>#DIV/0!</v>
      </c>
      <c r="Y463" s="48"/>
      <c r="Z463" s="33"/>
    </row>
    <row r="464" spans="1:26" ht="12.7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4"/>
      <c r="P464" s="45"/>
      <c r="Q464" s="5"/>
      <c r="R464" s="5"/>
      <c r="S464" s="5"/>
      <c r="T464" s="5"/>
      <c r="U464" s="10">
        <f t="shared" si="31"/>
        <v>452</v>
      </c>
      <c r="V464" s="30" t="e">
        <f t="shared" si="28"/>
        <v>#DIV/0!</v>
      </c>
      <c r="W464" s="14" t="e">
        <f t="shared" si="29"/>
        <v>#DIV/0!</v>
      </c>
      <c r="X464" s="14" t="e">
        <f t="shared" si="30"/>
        <v>#DIV/0!</v>
      </c>
      <c r="Y464" s="48"/>
      <c r="Z464" s="33"/>
    </row>
    <row r="465" spans="1:26" ht="12.7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4"/>
      <c r="P465" s="45"/>
      <c r="Q465" s="5"/>
      <c r="R465" s="5"/>
      <c r="S465" s="5"/>
      <c r="T465" s="5"/>
      <c r="U465" s="10">
        <f t="shared" si="31"/>
        <v>453</v>
      </c>
      <c r="V465" s="30" t="e">
        <f t="shared" si="28"/>
        <v>#DIV/0!</v>
      </c>
      <c r="W465" s="14" t="e">
        <f t="shared" si="29"/>
        <v>#DIV/0!</v>
      </c>
      <c r="X465" s="14" t="e">
        <f t="shared" si="30"/>
        <v>#DIV/0!</v>
      </c>
      <c r="Y465" s="48"/>
      <c r="Z465" s="33"/>
    </row>
    <row r="466" spans="1:26" ht="12.7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4"/>
      <c r="P466" s="45"/>
      <c r="Q466" s="5"/>
      <c r="R466" s="5"/>
      <c r="S466" s="5"/>
      <c r="T466" s="5"/>
      <c r="U466" s="10">
        <f t="shared" si="31"/>
        <v>454</v>
      </c>
      <c r="V466" s="30" t="e">
        <f t="shared" si="28"/>
        <v>#DIV/0!</v>
      </c>
      <c r="W466" s="14" t="e">
        <f t="shared" si="29"/>
        <v>#DIV/0!</v>
      </c>
      <c r="X466" s="14" t="e">
        <f t="shared" si="30"/>
        <v>#DIV/0!</v>
      </c>
      <c r="Y466" s="48"/>
      <c r="Z466" s="33"/>
    </row>
    <row r="467" spans="1:26" ht="12.7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4"/>
      <c r="P467" s="45"/>
      <c r="Q467" s="5"/>
      <c r="R467" s="5"/>
      <c r="S467" s="5"/>
      <c r="T467" s="5"/>
      <c r="U467" s="10">
        <f t="shared" si="31"/>
        <v>455</v>
      </c>
      <c r="V467" s="30" t="e">
        <f t="shared" si="28"/>
        <v>#DIV/0!</v>
      </c>
      <c r="W467" s="14" t="e">
        <f t="shared" si="29"/>
        <v>#DIV/0!</v>
      </c>
      <c r="X467" s="14" t="e">
        <f t="shared" si="30"/>
        <v>#DIV/0!</v>
      </c>
      <c r="Y467" s="48"/>
      <c r="Z467" s="33"/>
    </row>
    <row r="468" spans="1:26" ht="12.7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4"/>
      <c r="P468" s="45"/>
      <c r="Q468" s="5"/>
      <c r="R468" s="5"/>
      <c r="S468" s="5"/>
      <c r="T468" s="5"/>
      <c r="U468" s="10">
        <f t="shared" si="31"/>
        <v>456</v>
      </c>
      <c r="V468" s="30" t="e">
        <f t="shared" si="28"/>
        <v>#DIV/0!</v>
      </c>
      <c r="W468" s="14" t="e">
        <f t="shared" si="29"/>
        <v>#DIV/0!</v>
      </c>
      <c r="X468" s="14" t="e">
        <f t="shared" si="30"/>
        <v>#DIV/0!</v>
      </c>
      <c r="Y468" s="48"/>
      <c r="Z468" s="33"/>
    </row>
    <row r="469" spans="1:26" ht="12.7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4"/>
      <c r="P469" s="45"/>
      <c r="Q469" s="5"/>
      <c r="R469" s="5"/>
      <c r="S469" s="5"/>
      <c r="T469" s="5"/>
      <c r="U469" s="10">
        <f t="shared" si="31"/>
        <v>457</v>
      </c>
      <c r="V469" s="30" t="e">
        <f t="shared" si="28"/>
        <v>#DIV/0!</v>
      </c>
      <c r="W469" s="14" t="e">
        <f t="shared" si="29"/>
        <v>#DIV/0!</v>
      </c>
      <c r="X469" s="14" t="e">
        <f t="shared" si="30"/>
        <v>#DIV/0!</v>
      </c>
      <c r="Y469" s="48"/>
      <c r="Z469" s="33"/>
    </row>
    <row r="470" spans="1:26" ht="12.7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4"/>
      <c r="P470" s="45"/>
      <c r="Q470" s="5"/>
      <c r="R470" s="5"/>
      <c r="S470" s="5"/>
      <c r="T470" s="5"/>
      <c r="U470" s="10">
        <f t="shared" si="31"/>
        <v>458</v>
      </c>
      <c r="V470" s="30" t="e">
        <f t="shared" si="28"/>
        <v>#DIV/0!</v>
      </c>
      <c r="W470" s="14" t="e">
        <f t="shared" si="29"/>
        <v>#DIV/0!</v>
      </c>
      <c r="X470" s="14" t="e">
        <f t="shared" si="30"/>
        <v>#DIV/0!</v>
      </c>
      <c r="Y470" s="48"/>
      <c r="Z470" s="33"/>
    </row>
    <row r="471" spans="1:26" ht="12.7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4"/>
      <c r="P471" s="45"/>
      <c r="Q471" s="5"/>
      <c r="R471" s="5"/>
      <c r="S471" s="5"/>
      <c r="T471" s="5"/>
      <c r="U471" s="10">
        <f t="shared" si="31"/>
        <v>459</v>
      </c>
      <c r="V471" s="30" t="e">
        <f t="shared" si="28"/>
        <v>#DIV/0!</v>
      </c>
      <c r="W471" s="14" t="e">
        <f t="shared" si="29"/>
        <v>#DIV/0!</v>
      </c>
      <c r="X471" s="14" t="e">
        <f t="shared" si="30"/>
        <v>#DIV/0!</v>
      </c>
      <c r="Y471" s="48"/>
      <c r="Z471" s="33"/>
    </row>
    <row r="472" spans="1:26" ht="12.7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4"/>
      <c r="P472" s="45"/>
      <c r="Q472" s="5"/>
      <c r="R472" s="5"/>
      <c r="S472" s="5"/>
      <c r="T472" s="5"/>
      <c r="U472" s="10">
        <f t="shared" si="31"/>
        <v>460</v>
      </c>
      <c r="V472" s="30" t="e">
        <f t="shared" si="28"/>
        <v>#DIV/0!</v>
      </c>
      <c r="W472" s="14" t="e">
        <f t="shared" si="29"/>
        <v>#DIV/0!</v>
      </c>
      <c r="X472" s="14" t="e">
        <f t="shared" si="30"/>
        <v>#DIV/0!</v>
      </c>
      <c r="Y472" s="48"/>
      <c r="Z472" s="33"/>
    </row>
    <row r="473" spans="1:26" ht="12.7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4"/>
      <c r="P473" s="45"/>
      <c r="Q473" s="5"/>
      <c r="R473" s="5"/>
      <c r="S473" s="5"/>
      <c r="T473" s="5"/>
      <c r="U473" s="10">
        <f t="shared" si="31"/>
        <v>461</v>
      </c>
      <c r="V473" s="30" t="e">
        <f t="shared" si="28"/>
        <v>#DIV/0!</v>
      </c>
      <c r="W473" s="14" t="e">
        <f t="shared" si="29"/>
        <v>#DIV/0!</v>
      </c>
      <c r="X473" s="14" t="e">
        <f t="shared" si="30"/>
        <v>#DIV/0!</v>
      </c>
      <c r="Y473" s="48"/>
      <c r="Z473" s="33"/>
    </row>
    <row r="474" spans="1:26" ht="12.7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4"/>
      <c r="P474" s="45"/>
      <c r="Q474" s="5"/>
      <c r="R474" s="5"/>
      <c r="S474" s="5"/>
      <c r="T474" s="5"/>
      <c r="U474" s="10">
        <f t="shared" si="31"/>
        <v>462</v>
      </c>
      <c r="V474" s="30" t="e">
        <f t="shared" si="28"/>
        <v>#DIV/0!</v>
      </c>
      <c r="W474" s="14" t="e">
        <f t="shared" si="29"/>
        <v>#DIV/0!</v>
      </c>
      <c r="X474" s="14" t="e">
        <f t="shared" si="30"/>
        <v>#DIV/0!</v>
      </c>
      <c r="Y474" s="48"/>
      <c r="Z474" s="33"/>
    </row>
    <row r="475" spans="1:26" ht="12.7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4"/>
      <c r="P475" s="45"/>
      <c r="Q475" s="5"/>
      <c r="R475" s="5"/>
      <c r="S475" s="5"/>
      <c r="T475" s="5"/>
      <c r="U475" s="10">
        <f t="shared" si="31"/>
        <v>463</v>
      </c>
      <c r="V475" s="30" t="e">
        <f t="shared" si="28"/>
        <v>#DIV/0!</v>
      </c>
      <c r="W475" s="14" t="e">
        <f t="shared" si="29"/>
        <v>#DIV/0!</v>
      </c>
      <c r="X475" s="14" t="e">
        <f t="shared" si="30"/>
        <v>#DIV/0!</v>
      </c>
      <c r="Y475" s="48"/>
      <c r="Z475" s="33"/>
    </row>
    <row r="476" spans="1:26" ht="12.7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4"/>
      <c r="P476" s="45"/>
      <c r="Q476" s="5"/>
      <c r="R476" s="5"/>
      <c r="S476" s="5"/>
      <c r="T476" s="5"/>
      <c r="U476" s="10">
        <f t="shared" si="31"/>
        <v>464</v>
      </c>
      <c r="V476" s="30" t="e">
        <f t="shared" si="28"/>
        <v>#DIV/0!</v>
      </c>
      <c r="W476" s="14" t="e">
        <f t="shared" si="29"/>
        <v>#DIV/0!</v>
      </c>
      <c r="X476" s="14" t="e">
        <f t="shared" si="30"/>
        <v>#DIV/0!</v>
      </c>
      <c r="Y476" s="48"/>
      <c r="Z476" s="33"/>
    </row>
    <row r="477" spans="1:26" ht="12.7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4"/>
      <c r="P477" s="45"/>
      <c r="Q477" s="5"/>
      <c r="R477" s="5"/>
      <c r="S477" s="5"/>
      <c r="T477" s="5"/>
      <c r="U477" s="10">
        <f t="shared" si="31"/>
        <v>465</v>
      </c>
      <c r="V477" s="30" t="e">
        <f t="shared" si="28"/>
        <v>#DIV/0!</v>
      </c>
      <c r="W477" s="14" t="e">
        <f t="shared" si="29"/>
        <v>#DIV/0!</v>
      </c>
      <c r="X477" s="14" t="e">
        <f t="shared" si="30"/>
        <v>#DIV/0!</v>
      </c>
      <c r="Y477" s="48"/>
      <c r="Z477" s="33"/>
    </row>
    <row r="478" spans="1:26" ht="12.7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4"/>
      <c r="P478" s="45"/>
      <c r="Q478" s="5"/>
      <c r="R478" s="5"/>
      <c r="S478" s="5"/>
      <c r="T478" s="5"/>
      <c r="U478" s="10">
        <f t="shared" si="31"/>
        <v>466</v>
      </c>
      <c r="V478" s="30" t="e">
        <f t="shared" si="28"/>
        <v>#DIV/0!</v>
      </c>
      <c r="W478" s="14" t="e">
        <f t="shared" si="29"/>
        <v>#DIV/0!</v>
      </c>
      <c r="X478" s="14" t="e">
        <f t="shared" si="30"/>
        <v>#DIV/0!</v>
      </c>
      <c r="Y478" s="48"/>
      <c r="Z478" s="33"/>
    </row>
    <row r="479" spans="1:26" ht="12.7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4"/>
      <c r="P479" s="45"/>
      <c r="Q479" s="5"/>
      <c r="R479" s="5"/>
      <c r="S479" s="5"/>
      <c r="T479" s="5"/>
      <c r="U479" s="10">
        <f t="shared" si="31"/>
        <v>467</v>
      </c>
      <c r="V479" s="30" t="e">
        <f t="shared" si="28"/>
        <v>#DIV/0!</v>
      </c>
      <c r="W479" s="14" t="e">
        <f t="shared" si="29"/>
        <v>#DIV/0!</v>
      </c>
      <c r="X479" s="14" t="e">
        <f t="shared" si="30"/>
        <v>#DIV/0!</v>
      </c>
      <c r="Y479" s="48"/>
      <c r="Z479" s="33"/>
    </row>
    <row r="480" spans="1:26" ht="12.7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4"/>
      <c r="P480" s="45"/>
      <c r="Q480" s="5"/>
      <c r="R480" s="5"/>
      <c r="S480" s="5"/>
      <c r="T480" s="5"/>
      <c r="U480" s="10">
        <f t="shared" si="31"/>
        <v>468</v>
      </c>
      <c r="V480" s="30" t="e">
        <f t="shared" si="28"/>
        <v>#DIV/0!</v>
      </c>
      <c r="W480" s="14" t="e">
        <f t="shared" si="29"/>
        <v>#DIV/0!</v>
      </c>
      <c r="X480" s="14" t="e">
        <f t="shared" si="30"/>
        <v>#DIV/0!</v>
      </c>
      <c r="Y480" s="48"/>
      <c r="Z480" s="33"/>
    </row>
    <row r="481" spans="1:26" ht="12.7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4"/>
      <c r="P481" s="45"/>
      <c r="Q481" s="5"/>
      <c r="R481" s="5"/>
      <c r="S481" s="5"/>
      <c r="T481" s="5"/>
      <c r="U481" s="10">
        <f t="shared" si="31"/>
        <v>469</v>
      </c>
      <c r="V481" s="30" t="e">
        <f t="shared" si="28"/>
        <v>#DIV/0!</v>
      </c>
      <c r="W481" s="14" t="e">
        <f t="shared" si="29"/>
        <v>#DIV/0!</v>
      </c>
      <c r="X481" s="14" t="e">
        <f t="shared" si="30"/>
        <v>#DIV/0!</v>
      </c>
      <c r="Y481" s="48"/>
      <c r="Z481" s="33"/>
    </row>
    <row r="482" spans="1:26" ht="12.7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4"/>
      <c r="P482" s="45"/>
      <c r="Q482" s="5"/>
      <c r="R482" s="5"/>
      <c r="S482" s="5"/>
      <c r="T482" s="5"/>
      <c r="U482" s="10">
        <f t="shared" si="31"/>
        <v>470</v>
      </c>
      <c r="V482" s="30" t="e">
        <f t="shared" si="28"/>
        <v>#DIV/0!</v>
      </c>
      <c r="W482" s="14" t="e">
        <f t="shared" si="29"/>
        <v>#DIV/0!</v>
      </c>
      <c r="X482" s="14" t="e">
        <f t="shared" si="30"/>
        <v>#DIV/0!</v>
      </c>
      <c r="Y482" s="48"/>
      <c r="Z482" s="33"/>
    </row>
    <row r="483" spans="1:26" ht="12.7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4"/>
      <c r="P483" s="45"/>
      <c r="Q483" s="5"/>
      <c r="R483" s="5"/>
      <c r="S483" s="5"/>
      <c r="T483" s="5"/>
      <c r="U483" s="10">
        <f t="shared" si="31"/>
        <v>471</v>
      </c>
      <c r="V483" s="30" t="e">
        <f t="shared" si="28"/>
        <v>#DIV/0!</v>
      </c>
      <c r="W483" s="14" t="e">
        <f t="shared" si="29"/>
        <v>#DIV/0!</v>
      </c>
      <c r="X483" s="14" t="e">
        <f t="shared" si="30"/>
        <v>#DIV/0!</v>
      </c>
      <c r="Y483" s="48"/>
      <c r="Z483" s="33"/>
    </row>
    <row r="484" spans="1:26" ht="12.7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4"/>
      <c r="P484" s="45"/>
      <c r="Q484" s="5"/>
      <c r="R484" s="5"/>
      <c r="S484" s="5"/>
      <c r="T484" s="5"/>
      <c r="U484" s="10">
        <f t="shared" si="31"/>
        <v>472</v>
      </c>
      <c r="V484" s="30" t="e">
        <f t="shared" si="28"/>
        <v>#DIV/0!</v>
      </c>
      <c r="W484" s="14" t="e">
        <f t="shared" si="29"/>
        <v>#DIV/0!</v>
      </c>
      <c r="X484" s="14" t="e">
        <f t="shared" si="30"/>
        <v>#DIV/0!</v>
      </c>
      <c r="Y484" s="48"/>
      <c r="Z484" s="33"/>
    </row>
    <row r="485" spans="1:26" ht="12.7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4"/>
      <c r="P485" s="45"/>
      <c r="Q485" s="5"/>
      <c r="R485" s="5"/>
      <c r="S485" s="5"/>
      <c r="T485" s="5"/>
      <c r="U485" s="10">
        <f t="shared" si="31"/>
        <v>473</v>
      </c>
      <c r="V485" s="30" t="e">
        <f t="shared" si="28"/>
        <v>#DIV/0!</v>
      </c>
      <c r="W485" s="14" t="e">
        <f t="shared" si="29"/>
        <v>#DIV/0!</v>
      </c>
      <c r="X485" s="14" t="e">
        <f t="shared" si="30"/>
        <v>#DIV/0!</v>
      </c>
      <c r="Y485" s="48"/>
      <c r="Z485" s="33"/>
    </row>
    <row r="486" spans="1:26" ht="12.7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4"/>
      <c r="P486" s="45"/>
      <c r="Q486" s="5"/>
      <c r="R486" s="5"/>
      <c r="S486" s="5"/>
      <c r="T486" s="5"/>
      <c r="U486" s="10">
        <f t="shared" si="31"/>
        <v>474</v>
      </c>
      <c r="V486" s="30" t="e">
        <f t="shared" si="28"/>
        <v>#DIV/0!</v>
      </c>
      <c r="W486" s="14" t="e">
        <f t="shared" si="29"/>
        <v>#DIV/0!</v>
      </c>
      <c r="X486" s="14" t="e">
        <f t="shared" si="30"/>
        <v>#DIV/0!</v>
      </c>
      <c r="Y486" s="48"/>
      <c r="Z486" s="33"/>
    </row>
    <row r="487" spans="1:26" ht="12.7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4"/>
      <c r="P487" s="45"/>
      <c r="Q487" s="5"/>
      <c r="R487" s="5"/>
      <c r="S487" s="5"/>
      <c r="T487" s="5"/>
      <c r="U487" s="10">
        <f t="shared" si="31"/>
        <v>475</v>
      </c>
      <c r="V487" s="30" t="e">
        <f t="shared" si="28"/>
        <v>#DIV/0!</v>
      </c>
      <c r="W487" s="14" t="e">
        <f t="shared" si="29"/>
        <v>#DIV/0!</v>
      </c>
      <c r="X487" s="14" t="e">
        <f t="shared" si="30"/>
        <v>#DIV/0!</v>
      </c>
      <c r="Y487" s="48"/>
      <c r="Z487" s="33"/>
    </row>
    <row r="488" spans="1:26" ht="12.7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4"/>
      <c r="P488" s="45"/>
      <c r="Q488" s="5"/>
      <c r="R488" s="5"/>
      <c r="S488" s="5"/>
      <c r="T488" s="5"/>
      <c r="U488" s="10">
        <f t="shared" si="31"/>
        <v>476</v>
      </c>
      <c r="V488" s="30" t="e">
        <f t="shared" si="28"/>
        <v>#DIV/0!</v>
      </c>
      <c r="W488" s="14" t="e">
        <f t="shared" si="29"/>
        <v>#DIV/0!</v>
      </c>
      <c r="X488" s="14" t="e">
        <f t="shared" si="30"/>
        <v>#DIV/0!</v>
      </c>
      <c r="Y488" s="48"/>
      <c r="Z488" s="33"/>
    </row>
    <row r="489" spans="1:26" ht="12.7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4"/>
      <c r="P489" s="45"/>
      <c r="Q489" s="5"/>
      <c r="R489" s="5"/>
      <c r="S489" s="5"/>
      <c r="T489" s="5"/>
      <c r="U489" s="10">
        <f t="shared" si="31"/>
        <v>477</v>
      </c>
      <c r="V489" s="30" t="e">
        <f t="shared" si="28"/>
        <v>#DIV/0!</v>
      </c>
      <c r="W489" s="14" t="e">
        <f t="shared" si="29"/>
        <v>#DIV/0!</v>
      </c>
      <c r="X489" s="14" t="e">
        <f t="shared" si="30"/>
        <v>#DIV/0!</v>
      </c>
      <c r="Y489" s="48"/>
      <c r="Z489" s="33"/>
    </row>
    <row r="490" spans="1:26" ht="12.7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4"/>
      <c r="P490" s="45"/>
      <c r="Q490" s="5"/>
      <c r="R490" s="5"/>
      <c r="S490" s="5"/>
      <c r="T490" s="5"/>
      <c r="U490" s="10">
        <f t="shared" si="31"/>
        <v>478</v>
      </c>
      <c r="V490" s="30" t="e">
        <f t="shared" si="28"/>
        <v>#DIV/0!</v>
      </c>
      <c r="W490" s="14" t="e">
        <f t="shared" si="29"/>
        <v>#DIV/0!</v>
      </c>
      <c r="X490" s="14" t="e">
        <f t="shared" si="30"/>
        <v>#DIV/0!</v>
      </c>
      <c r="Y490" s="48"/>
      <c r="Z490" s="33"/>
    </row>
    <row r="491" spans="1:26" ht="12.7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4"/>
      <c r="P491" s="45"/>
      <c r="Q491" s="5"/>
      <c r="R491" s="5"/>
      <c r="S491" s="5"/>
      <c r="T491" s="5"/>
      <c r="U491" s="10">
        <f t="shared" si="31"/>
        <v>479</v>
      </c>
      <c r="V491" s="30" t="e">
        <f t="shared" si="28"/>
        <v>#DIV/0!</v>
      </c>
      <c r="W491" s="14" t="e">
        <f t="shared" si="29"/>
        <v>#DIV/0!</v>
      </c>
      <c r="X491" s="14" t="e">
        <f t="shared" si="30"/>
        <v>#DIV/0!</v>
      </c>
      <c r="Y491" s="48"/>
      <c r="Z491" s="33"/>
    </row>
    <row r="492" spans="1:26" ht="12.7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4"/>
      <c r="P492" s="45"/>
      <c r="Q492" s="5"/>
      <c r="R492" s="5"/>
      <c r="S492" s="5"/>
      <c r="T492" s="5"/>
      <c r="U492" s="10">
        <f t="shared" si="31"/>
        <v>480</v>
      </c>
      <c r="V492" s="30" t="e">
        <f t="shared" si="28"/>
        <v>#DIV/0!</v>
      </c>
      <c r="W492" s="14" t="e">
        <f t="shared" si="29"/>
        <v>#DIV/0!</v>
      </c>
      <c r="X492" s="14" t="e">
        <f t="shared" si="30"/>
        <v>#DIV/0!</v>
      </c>
      <c r="Y492" s="48"/>
      <c r="Z492" s="33"/>
    </row>
    <row r="493" spans="1:26" ht="12.7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4"/>
      <c r="P493" s="45"/>
      <c r="Q493" s="5"/>
      <c r="R493" s="5"/>
      <c r="S493" s="5"/>
      <c r="T493" s="5"/>
      <c r="U493" s="10">
        <f t="shared" si="31"/>
        <v>481</v>
      </c>
      <c r="V493" s="30" t="e">
        <f t="shared" si="28"/>
        <v>#DIV/0!</v>
      </c>
      <c r="W493" s="14" t="e">
        <f t="shared" si="29"/>
        <v>#DIV/0!</v>
      </c>
      <c r="X493" s="14" t="e">
        <f t="shared" si="30"/>
        <v>#DIV/0!</v>
      </c>
      <c r="Y493" s="48"/>
      <c r="Z493" s="33"/>
    </row>
    <row r="494" spans="1:26" ht="12.7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4"/>
      <c r="P494" s="45"/>
      <c r="Q494" s="5"/>
      <c r="R494" s="5"/>
      <c r="S494" s="5"/>
      <c r="T494" s="5"/>
      <c r="U494" s="10">
        <f t="shared" si="31"/>
        <v>482</v>
      </c>
      <c r="V494" s="30" t="e">
        <f t="shared" si="28"/>
        <v>#DIV/0!</v>
      </c>
      <c r="W494" s="14" t="e">
        <f t="shared" si="29"/>
        <v>#DIV/0!</v>
      </c>
      <c r="X494" s="14" t="e">
        <f t="shared" si="30"/>
        <v>#DIV/0!</v>
      </c>
      <c r="Y494" s="48"/>
      <c r="Z494" s="33"/>
    </row>
    <row r="495" spans="1:26" ht="12.7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4"/>
      <c r="P495" s="45"/>
      <c r="Q495" s="5"/>
      <c r="R495" s="5"/>
      <c r="S495" s="5"/>
      <c r="T495" s="5"/>
      <c r="U495" s="10">
        <f t="shared" si="31"/>
        <v>483</v>
      </c>
      <c r="V495" s="30" t="e">
        <f t="shared" si="28"/>
        <v>#DIV/0!</v>
      </c>
      <c r="W495" s="14" t="e">
        <f t="shared" si="29"/>
        <v>#DIV/0!</v>
      </c>
      <c r="X495" s="14" t="e">
        <f t="shared" si="30"/>
        <v>#DIV/0!</v>
      </c>
      <c r="Y495" s="48"/>
      <c r="Z495" s="33"/>
    </row>
    <row r="496" spans="1:26" ht="12.7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4"/>
      <c r="P496" s="45"/>
      <c r="Q496" s="5"/>
      <c r="R496" s="5"/>
      <c r="S496" s="5"/>
      <c r="T496" s="5"/>
      <c r="U496" s="10">
        <f t="shared" si="31"/>
        <v>484</v>
      </c>
      <c r="V496" s="30" t="e">
        <f t="shared" si="28"/>
        <v>#DIV/0!</v>
      </c>
      <c r="W496" s="14" t="e">
        <f t="shared" si="29"/>
        <v>#DIV/0!</v>
      </c>
      <c r="X496" s="14" t="e">
        <f t="shared" si="30"/>
        <v>#DIV/0!</v>
      </c>
      <c r="Y496" s="48"/>
      <c r="Z496" s="33"/>
    </row>
    <row r="497" spans="1:26" ht="12.7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4"/>
      <c r="P497" s="45"/>
      <c r="Q497" s="5"/>
      <c r="R497" s="5"/>
      <c r="S497" s="5"/>
      <c r="T497" s="5"/>
      <c r="U497" s="10">
        <f t="shared" si="31"/>
        <v>485</v>
      </c>
      <c r="V497" s="30" t="e">
        <f t="shared" si="28"/>
        <v>#DIV/0!</v>
      </c>
      <c r="W497" s="14" t="e">
        <f t="shared" si="29"/>
        <v>#DIV/0!</v>
      </c>
      <c r="X497" s="14" t="e">
        <f t="shared" si="30"/>
        <v>#DIV/0!</v>
      </c>
      <c r="Y497" s="48"/>
      <c r="Z497" s="33"/>
    </row>
    <row r="498" spans="1:26" ht="12.7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4"/>
      <c r="P498" s="45"/>
      <c r="Q498" s="5"/>
      <c r="R498" s="5"/>
      <c r="S498" s="5"/>
      <c r="T498" s="5"/>
      <c r="U498" s="10">
        <f t="shared" si="31"/>
        <v>486</v>
      </c>
      <c r="V498" s="30" t="e">
        <f t="shared" si="28"/>
        <v>#DIV/0!</v>
      </c>
      <c r="W498" s="14" t="e">
        <f t="shared" si="29"/>
        <v>#DIV/0!</v>
      </c>
      <c r="X498" s="14" t="e">
        <f t="shared" si="30"/>
        <v>#DIV/0!</v>
      </c>
      <c r="Y498" s="48"/>
      <c r="Z498" s="33"/>
    </row>
    <row r="499" spans="1:26" ht="12.7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4"/>
      <c r="P499" s="45"/>
      <c r="Q499" s="5"/>
      <c r="R499" s="5"/>
      <c r="S499" s="5"/>
      <c r="T499" s="5"/>
      <c r="U499" s="10">
        <f t="shared" si="31"/>
        <v>487</v>
      </c>
      <c r="V499" s="30" t="e">
        <f t="shared" si="28"/>
        <v>#DIV/0!</v>
      </c>
      <c r="W499" s="14" t="e">
        <f t="shared" si="29"/>
        <v>#DIV/0!</v>
      </c>
      <c r="X499" s="14" t="e">
        <f t="shared" si="30"/>
        <v>#DIV/0!</v>
      </c>
      <c r="Y499" s="48"/>
      <c r="Z499" s="33"/>
    </row>
    <row r="500" spans="1:26" ht="12.7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4"/>
      <c r="P500" s="45"/>
      <c r="Q500" s="5"/>
      <c r="R500" s="5"/>
      <c r="S500" s="5"/>
      <c r="T500" s="5"/>
      <c r="U500" s="10">
        <f t="shared" si="31"/>
        <v>488</v>
      </c>
      <c r="V500" s="30" t="e">
        <f t="shared" si="28"/>
        <v>#DIV/0!</v>
      </c>
      <c r="W500" s="14" t="e">
        <f t="shared" si="29"/>
        <v>#DIV/0!</v>
      </c>
      <c r="X500" s="14" t="e">
        <f t="shared" si="30"/>
        <v>#DIV/0!</v>
      </c>
      <c r="Y500" s="48"/>
      <c r="Z500" s="33"/>
    </row>
    <row r="501" spans="1:26" ht="12.7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4"/>
      <c r="P501" s="45"/>
      <c r="Q501" s="5"/>
      <c r="R501" s="5"/>
      <c r="S501" s="5"/>
      <c r="T501" s="5"/>
      <c r="U501" s="10">
        <f t="shared" si="31"/>
        <v>489</v>
      </c>
      <c r="V501" s="30" t="e">
        <f t="shared" si="28"/>
        <v>#DIV/0!</v>
      </c>
      <c r="W501" s="14" t="e">
        <f t="shared" si="29"/>
        <v>#DIV/0!</v>
      </c>
      <c r="X501" s="14" t="e">
        <f t="shared" si="30"/>
        <v>#DIV/0!</v>
      </c>
      <c r="Y501" s="48"/>
      <c r="Z501" s="33"/>
    </row>
    <row r="502" spans="1:26" ht="12.7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4"/>
      <c r="P502" s="45"/>
      <c r="Q502" s="5"/>
      <c r="R502" s="5"/>
      <c r="S502" s="5"/>
      <c r="T502" s="5"/>
      <c r="U502" s="10">
        <f t="shared" si="31"/>
        <v>490</v>
      </c>
      <c r="V502" s="30" t="e">
        <f t="shared" si="28"/>
        <v>#DIV/0!</v>
      </c>
      <c r="W502" s="14" t="e">
        <f t="shared" si="29"/>
        <v>#DIV/0!</v>
      </c>
      <c r="X502" s="14" t="e">
        <f t="shared" si="30"/>
        <v>#DIV/0!</v>
      </c>
      <c r="Y502" s="48"/>
      <c r="Z502" s="33"/>
    </row>
    <row r="503" spans="1:26" ht="12.7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4"/>
      <c r="P503" s="45"/>
      <c r="Q503" s="5"/>
      <c r="R503" s="5"/>
      <c r="S503" s="5"/>
      <c r="T503" s="5"/>
      <c r="U503" s="10">
        <f t="shared" si="31"/>
        <v>491</v>
      </c>
      <c r="V503" s="30" t="e">
        <f t="shared" si="28"/>
        <v>#DIV/0!</v>
      </c>
      <c r="W503" s="14" t="e">
        <f t="shared" si="29"/>
        <v>#DIV/0!</v>
      </c>
      <c r="X503" s="14" t="e">
        <f t="shared" si="30"/>
        <v>#DIV/0!</v>
      </c>
      <c r="Y503" s="48"/>
      <c r="Z503" s="33"/>
    </row>
    <row r="504" spans="1:26" ht="12.7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4"/>
      <c r="P504" s="45"/>
      <c r="Q504" s="5"/>
      <c r="R504" s="5"/>
      <c r="S504" s="5"/>
      <c r="T504" s="5"/>
      <c r="U504" s="10">
        <f t="shared" si="31"/>
        <v>492</v>
      </c>
      <c r="V504" s="30" t="e">
        <f t="shared" si="28"/>
        <v>#DIV/0!</v>
      </c>
      <c r="W504" s="14" t="e">
        <f t="shared" si="29"/>
        <v>#DIV/0!</v>
      </c>
      <c r="X504" s="14" t="e">
        <f t="shared" si="30"/>
        <v>#DIV/0!</v>
      </c>
      <c r="Y504" s="48"/>
      <c r="Z504" s="33"/>
    </row>
    <row r="505" spans="1:26" ht="12.75">
      <c r="A505" s="125"/>
      <c r="B505" s="125"/>
      <c r="C505" s="125"/>
      <c r="D505" s="125"/>
      <c r="E505" s="125"/>
      <c r="F505" s="125"/>
      <c r="O505" s="124"/>
      <c r="P505" s="45"/>
      <c r="Q505" s="5"/>
      <c r="R505" s="5"/>
      <c r="S505" s="5"/>
      <c r="T505" s="5"/>
      <c r="U505" s="10">
        <f t="shared" si="31"/>
        <v>493</v>
      </c>
      <c r="V505" s="30" t="e">
        <f t="shared" si="28"/>
        <v>#DIV/0!</v>
      </c>
      <c r="W505" s="14" t="e">
        <f t="shared" si="29"/>
        <v>#DIV/0!</v>
      </c>
      <c r="X505" s="14" t="e">
        <f t="shared" si="30"/>
        <v>#DIV/0!</v>
      </c>
      <c r="Y505" s="48"/>
      <c r="Z505" s="33"/>
    </row>
    <row r="506" spans="1:26" ht="12.75">
      <c r="A506" s="125"/>
      <c r="B506" s="125"/>
      <c r="C506" s="125"/>
      <c r="D506" s="125"/>
      <c r="E506" s="125"/>
      <c r="F506" s="125"/>
      <c r="O506" s="124"/>
      <c r="P506" s="45"/>
      <c r="Q506" s="5"/>
      <c r="R506" s="5"/>
      <c r="S506" s="5"/>
      <c r="T506" s="5"/>
      <c r="U506" s="10">
        <f t="shared" si="31"/>
        <v>494</v>
      </c>
      <c r="V506" s="30" t="e">
        <f t="shared" si="28"/>
        <v>#DIV/0!</v>
      </c>
      <c r="W506" s="14" t="e">
        <f t="shared" si="29"/>
        <v>#DIV/0!</v>
      </c>
      <c r="X506" s="14" t="e">
        <f t="shared" si="30"/>
        <v>#DIV/0!</v>
      </c>
      <c r="Y506" s="48"/>
      <c r="Z506" s="33"/>
    </row>
    <row r="507" spans="1:26" ht="12.75">
      <c r="A507" s="125"/>
      <c r="B507" s="125"/>
      <c r="C507" s="125"/>
      <c r="D507" s="125"/>
      <c r="E507" s="125"/>
      <c r="F507" s="125"/>
      <c r="O507" s="124"/>
      <c r="P507" s="45"/>
      <c r="Q507" s="5"/>
      <c r="R507" s="5"/>
      <c r="S507" s="5"/>
      <c r="T507" s="5"/>
      <c r="U507" s="10">
        <f t="shared" si="31"/>
        <v>495</v>
      </c>
      <c r="V507" s="30" t="e">
        <f t="shared" si="28"/>
        <v>#DIV/0!</v>
      </c>
      <c r="W507" s="14" t="e">
        <f t="shared" si="29"/>
        <v>#DIV/0!</v>
      </c>
      <c r="X507" s="14" t="e">
        <f t="shared" si="30"/>
        <v>#DIV/0!</v>
      </c>
      <c r="Y507" s="48"/>
      <c r="Z507" s="33"/>
    </row>
    <row r="508" spans="1:26" ht="12.75">
      <c r="A508" s="125"/>
      <c r="B508" s="125"/>
      <c r="C508" s="125"/>
      <c r="D508" s="125"/>
      <c r="E508" s="125"/>
      <c r="F508" s="125"/>
      <c r="O508" s="124"/>
      <c r="P508" s="45"/>
      <c r="Q508" s="5"/>
      <c r="R508" s="5"/>
      <c r="S508" s="5"/>
      <c r="T508" s="5"/>
      <c r="U508" s="10">
        <f t="shared" si="31"/>
        <v>496</v>
      </c>
      <c r="V508" s="30" t="e">
        <f t="shared" si="28"/>
        <v>#DIV/0!</v>
      </c>
      <c r="W508" s="14" t="e">
        <f t="shared" si="29"/>
        <v>#DIV/0!</v>
      </c>
      <c r="X508" s="14" t="e">
        <f t="shared" si="30"/>
        <v>#DIV/0!</v>
      </c>
      <c r="Y508" s="48"/>
      <c r="Z508" s="33"/>
    </row>
    <row r="509" spans="1:26" ht="12.75">
      <c r="A509" s="125"/>
      <c r="B509" s="125"/>
      <c r="C509" s="125"/>
      <c r="D509" s="125"/>
      <c r="E509" s="125"/>
      <c r="F509" s="125"/>
      <c r="O509" s="124"/>
      <c r="P509" s="45"/>
      <c r="Q509" s="5"/>
      <c r="R509" s="5"/>
      <c r="S509" s="5"/>
      <c r="T509" s="5"/>
      <c r="U509" s="10">
        <f t="shared" si="31"/>
        <v>497</v>
      </c>
      <c r="V509" s="30" t="e">
        <f t="shared" si="28"/>
        <v>#DIV/0!</v>
      </c>
      <c r="W509" s="14" t="e">
        <f t="shared" si="29"/>
        <v>#DIV/0!</v>
      </c>
      <c r="X509" s="14" t="e">
        <f t="shared" si="30"/>
        <v>#DIV/0!</v>
      </c>
      <c r="Y509" s="48"/>
      <c r="Z509" s="33"/>
    </row>
    <row r="510" spans="1:26" ht="12.75">
      <c r="A510" s="125"/>
      <c r="B510" s="125"/>
      <c r="C510" s="125"/>
      <c r="D510" s="125"/>
      <c r="E510" s="125"/>
      <c r="F510" s="125"/>
      <c r="O510" s="124"/>
      <c r="P510" s="45"/>
      <c r="Q510" s="5"/>
      <c r="R510" s="5"/>
      <c r="S510" s="5"/>
      <c r="T510" s="5"/>
      <c r="U510" s="10">
        <f t="shared" si="31"/>
        <v>498</v>
      </c>
      <c r="V510" s="30" t="e">
        <f t="shared" si="28"/>
        <v>#DIV/0!</v>
      </c>
      <c r="W510" s="14" t="e">
        <f t="shared" si="29"/>
        <v>#DIV/0!</v>
      </c>
      <c r="X510" s="14" t="e">
        <f t="shared" si="30"/>
        <v>#DIV/0!</v>
      </c>
      <c r="Y510" s="48"/>
      <c r="Z510" s="33"/>
    </row>
    <row r="511" spans="1:26" ht="12.75">
      <c r="A511" s="125"/>
      <c r="B511" s="125"/>
      <c r="C511" s="125"/>
      <c r="D511" s="125"/>
      <c r="E511" s="125"/>
      <c r="F511" s="125"/>
      <c r="O511" s="124"/>
      <c r="P511" s="45"/>
      <c r="Q511" s="5"/>
      <c r="R511" s="5"/>
      <c r="S511" s="5"/>
      <c r="T511" s="5"/>
      <c r="U511" s="10">
        <f t="shared" si="31"/>
        <v>499</v>
      </c>
      <c r="V511" s="30" t="e">
        <f t="shared" si="28"/>
        <v>#DIV/0!</v>
      </c>
      <c r="W511" s="14" t="e">
        <f t="shared" si="29"/>
        <v>#DIV/0!</v>
      </c>
      <c r="X511" s="14" t="e">
        <f t="shared" si="30"/>
        <v>#DIV/0!</v>
      </c>
      <c r="Y511" s="48"/>
      <c r="Z511" s="33"/>
    </row>
    <row r="512" spans="1:26" ht="12.75">
      <c r="A512" s="125"/>
      <c r="B512" s="125"/>
      <c r="C512" s="125"/>
      <c r="D512" s="125"/>
      <c r="E512" s="125"/>
      <c r="F512" s="125"/>
      <c r="O512" s="124"/>
      <c r="P512" s="45"/>
      <c r="Q512" s="5"/>
      <c r="R512" s="5"/>
      <c r="S512" s="5"/>
      <c r="T512" s="5"/>
      <c r="U512" s="10">
        <f t="shared" si="31"/>
        <v>500</v>
      </c>
      <c r="V512" s="30" t="e">
        <f t="shared" si="28"/>
        <v>#DIV/0!</v>
      </c>
      <c r="W512" s="14" t="e">
        <f t="shared" si="29"/>
        <v>#DIV/0!</v>
      </c>
      <c r="X512" s="14" t="e">
        <f t="shared" si="30"/>
        <v>#DIV/0!</v>
      </c>
      <c r="Y512" s="48"/>
      <c r="Z512" s="33"/>
    </row>
    <row r="513" spans="1:26" ht="12.75">
      <c r="A513" s="125"/>
      <c r="B513" s="125"/>
      <c r="C513" s="125"/>
      <c r="D513" s="125"/>
      <c r="E513" s="125"/>
      <c r="F513" s="125"/>
      <c r="O513" s="124"/>
      <c r="P513" s="49"/>
      <c r="Q513" s="50"/>
      <c r="R513" s="50"/>
      <c r="S513" s="50"/>
      <c r="T513" s="50"/>
      <c r="U513" s="81"/>
      <c r="V513" s="81"/>
      <c r="W513" s="81"/>
      <c r="X513" s="81"/>
      <c r="Y513" s="51"/>
      <c r="Z513" s="33"/>
    </row>
  </sheetData>
  <sheetProtection password="8B2F" sheet="1" objects="1" scenarios="1" selectLockedCells="1"/>
  <mergeCells count="4">
    <mergeCell ref="C4:D4"/>
    <mergeCell ref="M3:N3"/>
    <mergeCell ref="M9:N9"/>
    <mergeCell ref="M14:N14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Sailing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Baittinger</dc:creator>
  <cp:keywords/>
  <dc:description/>
  <cp:lastModifiedBy>Eric Baittinger</cp:lastModifiedBy>
  <cp:lastPrinted>2014-07-08T13:31:24Z</cp:lastPrinted>
  <dcterms:created xsi:type="dcterms:W3CDTF">2013-03-07T14:25:35Z</dcterms:created>
  <dcterms:modified xsi:type="dcterms:W3CDTF">2018-11-16T18:02:39Z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