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2600" windowHeight="10275" activeTab="0"/>
  </bookViews>
  <sheets>
    <sheet name="Sail Data" sheetId="1" r:id="rId1"/>
    <sheet name="Calcs-1" sheetId="2" state="hidden" r:id="rId2"/>
  </sheets>
  <definedNames>
    <definedName name="Clew_Angle">'Calcs-1'!$N$22</definedName>
    <definedName name="Clew_Angle_Neg">'Calcs-1'!$N$24</definedName>
    <definedName name="Clew_Angle_s_d">'Calcs-1'!$N$23</definedName>
    <definedName name="Clew_Left_x">'Calcs-1'!$J$4</definedName>
    <definedName name="Clew_Left_y">'Calcs-1'!$K$4</definedName>
    <definedName name="Clew_Right_x">'Calcs-1'!$J$11</definedName>
    <definedName name="Clew_Right_y">'Calcs-1'!$K$11</definedName>
    <definedName name="FootOff_x">'Calcs-1'!$J$13</definedName>
    <definedName name="FootOff_y">'Calcs-1'!$K$13</definedName>
    <definedName name="Head_x">'Calcs-1'!$J$7</definedName>
    <definedName name="Head_y">'Calcs-1'!$K$7</definedName>
    <definedName name="LeftPer">'Calcs-1'!$J$41</definedName>
    <definedName name="Neg_Clew_Angle_s_d">'Calcs-1'!$N$25</definedName>
    <definedName name="_xlnm.Print_Area" localSheetId="1">'Calcs-1'!$C$1:$O$42</definedName>
    <definedName name="_xlnm.Print_Area" localSheetId="0">'Sail Data'!$B$1:$N$61</definedName>
    <definedName name="RightPer">'Calcs-1'!$J$42</definedName>
    <definedName name="SCL_s">'Calcs-1'!$N$27</definedName>
    <definedName name="SF_1">'Sail Data'!$R$8</definedName>
    <definedName name="SF_1a">'Sail Data'!$S$8</definedName>
    <definedName name="SF_a">'Calcs-1'!$D$18</definedName>
    <definedName name="SF_s">'Calcs-1'!$D$9</definedName>
    <definedName name="SHW_a">'Calcs-1'!$D$17</definedName>
    <definedName name="SHW_s">'Calcs-1'!$N$29</definedName>
    <definedName name="SHW_s_Input">'Calcs-1'!$D$8</definedName>
    <definedName name="SHW_s_x">'Calcs-1'!$N$33</definedName>
    <definedName name="SHW_s_y">'Calcs-1'!$O$33</definedName>
    <definedName name="SL_Mid_s_x">'Calcs-1'!$N$32</definedName>
    <definedName name="SL_Mid_s_y">'Calcs-1'!$O$32</definedName>
    <definedName name="SLE_1">'Sail Data'!$R$6</definedName>
    <definedName name="SLE_1a">'Sail Data'!$S$6</definedName>
    <definedName name="SLE_a">'Calcs-1'!$D$16</definedName>
    <definedName name="SLE_Half_Luff_x">'Calcs-1'!$J$10</definedName>
    <definedName name="SLE_Half_Luff_y">'Calcs-1'!$K$10</definedName>
    <definedName name="SLE_s">'Calcs-1'!$D$6</definedName>
    <definedName name="SLU_1">'Sail Data'!$R$5</definedName>
    <definedName name="SLU_1a">'Sail Data'!$S$5</definedName>
    <definedName name="SLU_a">'Calcs-1'!$D$15</definedName>
    <definedName name="SLU_Half_Luff_x">'Calcs-1'!$J$5</definedName>
    <definedName name="SLU_Half_Luff_y">'Calcs-1'!$K$5</definedName>
    <definedName name="SLU_s">'Calcs-1'!$D$5</definedName>
    <definedName name="SMG_1">'Sail Data'!$R$7</definedName>
    <definedName name="SMG_1a">'Sail Data'!$S$7</definedName>
    <definedName name="SMW_1">'Sail Data'!$R$9</definedName>
    <definedName name="SMW_1a">'Sail Data'!$S$9</definedName>
    <definedName name="SMW_s">'Calcs-1'!$D$7</definedName>
    <definedName name="Spin_s_scale">'Calcs-1'!$N$28</definedName>
    <definedName name="SS_axes_maxx">'Calcs-1'!$N$11</definedName>
    <definedName name="SS_axes_maxy">'Calcs-1'!$O$11</definedName>
    <definedName name="SS_axes_minx">'Calcs-1'!$N$12</definedName>
    <definedName name="SS_axes_miny">'Calcs-1'!$O$12</definedName>
    <definedName name="SS_data_maxx">'Calcs-1'!$N$5</definedName>
    <definedName name="SS_data_maxy">'Calcs-1'!$O$5</definedName>
    <definedName name="SS_data_minx">'Calcs-1'!$N$6</definedName>
    <definedName name="SS_data_miny">'Calcs-1'!$O$6</definedName>
    <definedName name="SS_dummy_hor_maxx">'Calcs-1'!$N$17</definedName>
    <definedName name="SS_dummy_hor_maxy">'Calcs-1'!$O$17</definedName>
    <definedName name="SS_dummy_hor_minx">'Calcs-1'!$N$18</definedName>
    <definedName name="SS_dummy_hor_miny">'Calcs-1'!$O$18</definedName>
    <definedName name="SS_dummy_vert_maxx">'Calcs-1'!$N$19</definedName>
    <definedName name="SS_dummy_vert_maxy">'Calcs-1'!$O$19</definedName>
    <definedName name="SS_dummy_vert_minx">'Calcs-1'!$N$20</definedName>
    <definedName name="SS_dummy_vert_miny">'Calcs-1'!$O$20</definedName>
    <definedName name="SS_xdata_range">'Calcs-1'!$N$7</definedName>
    <definedName name="SS_ydata_range">'Calcs-1'!$O$7</definedName>
    <definedName name="Sym_Plot_Max_Height">'Calcs-1'!$O$29</definedName>
    <definedName name="Tick_length">'Calcs-1'!$I$57</definedName>
    <definedName name="Tick_Offset">'Calcs-1'!$I$56</definedName>
  </definedNames>
  <calcPr fullCalcOnLoad="1"/>
</workbook>
</file>

<file path=xl/sharedStrings.xml><?xml version="1.0" encoding="utf-8"?>
<sst xmlns="http://schemas.openxmlformats.org/spreadsheetml/2006/main" count="150" uniqueCount="103">
  <si>
    <t>SLE</t>
  </si>
  <si>
    <t>Maximum Width</t>
  </si>
  <si>
    <t>SMW</t>
  </si>
  <si>
    <t>Half Width</t>
  </si>
  <si>
    <t>SHW</t>
  </si>
  <si>
    <t>Foot</t>
  </si>
  <si>
    <t>SF</t>
  </si>
  <si>
    <t>Rad</t>
  </si>
  <si>
    <t>Deg</t>
  </si>
  <si>
    <t>x</t>
  </si>
  <si>
    <t>y</t>
  </si>
  <si>
    <t>Clew</t>
  </si>
  <si>
    <t>Head</t>
  </si>
  <si>
    <t>Hgt</t>
  </si>
  <si>
    <t>Axes</t>
  </si>
  <si>
    <t>Max</t>
  </si>
  <si>
    <t>Min</t>
  </si>
  <si>
    <t>SCL</t>
  </si>
  <si>
    <t>SL Mid</t>
  </si>
  <si>
    <t>Left</t>
  </si>
  <si>
    <t>Right</t>
  </si>
  <si>
    <t>Left SL Mid</t>
  </si>
  <si>
    <t>to Half Leech</t>
  </si>
  <si>
    <t>Top</t>
  </si>
  <si>
    <t>SL / SLU</t>
  </si>
  <si>
    <t>SMG / SHW</t>
  </si>
  <si>
    <t>Mid</t>
  </si>
  <si>
    <t>Feet</t>
  </si>
  <si>
    <t>Right SL Mid</t>
  </si>
  <si>
    <t>Data</t>
  </si>
  <si>
    <t>Range</t>
  </si>
  <si>
    <t>Dummy Series</t>
  </si>
  <si>
    <t>Hor</t>
  </si>
  <si>
    <t>Vert</t>
  </si>
  <si>
    <t>CA Neg</t>
  </si>
  <si>
    <t>Half</t>
  </si>
  <si>
    <t>Luff /</t>
  </si>
  <si>
    <t xml:space="preserve"> Leech</t>
  </si>
  <si>
    <t>Clew Ang</t>
  </si>
  <si>
    <t>INPUTS</t>
  </si>
  <si>
    <t>SYM SPINNAKER</t>
  </si>
  <si>
    <t>Half Lch</t>
  </si>
  <si>
    <t>SYM SPINNAKER - 1</t>
  </si>
  <si>
    <t>Area -</t>
  </si>
  <si>
    <t>ORR</t>
  </si>
  <si>
    <t>IRC</t>
  </si>
  <si>
    <t>Boat Name:</t>
  </si>
  <si>
    <t>Sail No.:</t>
  </si>
  <si>
    <t>Class/Model:</t>
  </si>
  <si>
    <t>Owner:</t>
  </si>
  <si>
    <t>Sail Desc.:</t>
  </si>
  <si>
    <t>Sail ID No.:</t>
  </si>
  <si>
    <t>Sail plotted below from input data.</t>
  </si>
  <si>
    <t>Sail shape is approximate.</t>
  </si>
  <si>
    <t>Labels</t>
  </si>
  <si>
    <t>Luff Tick</t>
  </si>
  <si>
    <t>Top Tick Left</t>
  </si>
  <si>
    <t>Top Tick Right</t>
  </si>
  <si>
    <t>Bot Tick Left</t>
  </si>
  <si>
    <t>Bot Tick Right</t>
  </si>
  <si>
    <t>Luff Dim Top</t>
  </si>
  <si>
    <t>Luff Dim Bot</t>
  </si>
  <si>
    <t>Leech Tick</t>
  </si>
  <si>
    <t>Leech Dim Top</t>
  </si>
  <si>
    <t>Leech Dim Bot</t>
  </si>
  <si>
    <t>Foot Tick</t>
  </si>
  <si>
    <t>Left Tick Top</t>
  </si>
  <si>
    <t>Left Tick Bot</t>
  </si>
  <si>
    <t>Right Tick Top</t>
  </si>
  <si>
    <t>Right Tick Bot</t>
  </si>
  <si>
    <t>Foot Dim Left</t>
  </si>
  <si>
    <t>Foot Dim Right</t>
  </si>
  <si>
    <t>Tick Offset</t>
  </si>
  <si>
    <t>Tick Length</t>
  </si>
  <si>
    <t>Left Luff/Leech Per</t>
  </si>
  <si>
    <t>Right Luff/Leech Per</t>
  </si>
  <si>
    <t>Leech Length</t>
  </si>
  <si>
    <t>Luff Length</t>
  </si>
  <si>
    <t>Bottom</t>
  </si>
  <si>
    <t>Left Luff/Leech Angle</t>
  </si>
  <si>
    <t>Percent</t>
  </si>
  <si>
    <t>Foot Length</t>
  </si>
  <si>
    <t>'=IF(AND(SLU_s&gt;0,SF_s&gt;0),IF(SMW_s&gt;0,IF(SHW_s_Input&gt;0,"","Max Width"),""),"")</t>
  </si>
  <si>
    <t>Notes to sail measurers:</t>
  </si>
  <si>
    <t>Please complete electronically, including your name and date.</t>
  </si>
  <si>
    <t>Email the spreadsheet file to:</t>
  </si>
  <si>
    <t>offshore@ussailing.org</t>
  </si>
  <si>
    <t>A physical signature is not required when emailed directly by the measurer/loft.</t>
  </si>
  <si>
    <t>Please do not fax copies of this certificate or submit handwritten certifcates as these are most often not legible.</t>
  </si>
  <si>
    <t>Handwritten certificates also defeat the automatic conversion feature between metric and feet which is necessary for processing in the Offshore Office.</t>
  </si>
  <si>
    <t>Loft:</t>
  </si>
  <si>
    <t>Measurer Name:</t>
  </si>
  <si>
    <t>Date:</t>
  </si>
  <si>
    <t>Signature:</t>
  </si>
  <si>
    <t>All earlier versions of the US Sailing Sail Measurement Form spreadsheet are obsolete.</t>
  </si>
  <si>
    <t>Under the UMS concept, measurers are encouraged to measure all listed sail dimensions without respect to individual rules.</t>
  </si>
  <si>
    <t>A majority of boats race under multiple rules. Providing all the dimensions ensures the data needed is available.</t>
  </si>
  <si>
    <t>UMS Symmetric Spinnaker Certificate</t>
  </si>
  <si>
    <t xml:space="preserve">  Measurement Units:  Meters</t>
  </si>
  <si>
    <t>SLU</t>
  </si>
  <si>
    <t>SFL</t>
  </si>
  <si>
    <t>Version date: 26 Jan 2016</t>
  </si>
  <si>
    <t>HPR / ORC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</si>
</sst>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0.000000000"/>
    <numFmt numFmtId="172" formatCode="0.0000000000"/>
  </numFmts>
  <fonts count="84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/>
      <top/>
      <bottom style="thin">
        <color theme="0"/>
      </bottom>
    </border>
    <border>
      <left/>
      <right/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/>
      <top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10" fillId="1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5" fillId="35" borderId="0" applyNumberFormat="0" applyBorder="0" applyAlignment="0" applyProtection="0"/>
    <xf numFmtId="0" fontId="12" fillId="12" borderId="0" applyNumberFormat="0" applyBorder="0" applyAlignment="0" applyProtection="0"/>
    <xf numFmtId="0" fontId="66" fillId="36" borderId="1" applyNumberFormat="0" applyAlignment="0" applyProtection="0"/>
    <xf numFmtId="0" fontId="13" fillId="37" borderId="2" applyNumberFormat="0" applyAlignment="0" applyProtection="0"/>
    <xf numFmtId="0" fontId="14" fillId="38" borderId="3" applyNumberFormat="0" applyAlignment="0" applyProtection="0"/>
    <xf numFmtId="0" fontId="15" fillId="0" borderId="4" applyNumberFormat="0" applyFill="0" applyAlignment="0" applyProtection="0"/>
    <xf numFmtId="0" fontId="67" fillId="3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7" fillId="19" borderId="2" applyNumberFormat="0" applyAlignment="0" applyProtection="0"/>
    <xf numFmtId="0" fontId="68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74" fillId="46" borderId="1" applyNumberFormat="0" applyAlignment="0" applyProtection="0"/>
    <xf numFmtId="0" fontId="75" fillId="0" borderId="9" applyNumberFormat="0" applyFill="0" applyAlignment="0" applyProtection="0"/>
    <xf numFmtId="0" fontId="76" fillId="4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10" borderId="10" applyNumberFormat="0" applyFont="0" applyAlignment="0" applyProtection="0"/>
    <xf numFmtId="0" fontId="0" fillId="48" borderId="11" applyNumberFormat="0" applyFont="0" applyAlignment="0" applyProtection="0"/>
    <xf numFmtId="0" fontId="77" fillId="36" borderId="12" applyNumberFormat="0" applyAlignment="0" applyProtection="0"/>
    <xf numFmtId="9" fontId="0" fillId="0" borderId="0" applyFont="0" applyFill="0" applyBorder="0" applyAlignment="0" applyProtection="0"/>
    <xf numFmtId="0" fontId="19" fillId="37" borderId="13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16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8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8" borderId="3" applyNumberFormat="0" applyAlignment="0" applyProtection="0"/>
    <xf numFmtId="0" fontId="26" fillId="19" borderId="0" applyNumberFormat="0" applyBorder="0" applyAlignment="0" applyProtection="0"/>
    <xf numFmtId="0" fontId="2" fillId="10" borderId="10" applyNumberFormat="0" applyFont="0" applyAlignment="0" applyProtection="0"/>
    <xf numFmtId="0" fontId="27" fillId="0" borderId="4" applyNumberFormat="0" applyFill="0" applyAlignment="0" applyProtection="0"/>
    <xf numFmtId="0" fontId="28" fillId="19" borderId="2" applyNumberFormat="0" applyAlignment="0" applyProtection="0"/>
    <xf numFmtId="0" fontId="29" fillId="37" borderId="13" applyNumberFormat="0" applyAlignment="0" applyProtection="0"/>
    <xf numFmtId="0" fontId="30" fillId="45" borderId="0" applyNumberFormat="0" applyBorder="0" applyAlignment="0" applyProtection="0"/>
    <xf numFmtId="0" fontId="31" fillId="12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37" borderId="2" applyNumberFormat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18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19" xfId="105" applyFont="1" applyFill="1" applyBorder="1" applyAlignment="1" applyProtection="1">
      <alignment horizontal="left"/>
      <protection/>
    </xf>
    <xf numFmtId="0" fontId="2" fillId="0" borderId="19" xfId="105" applyFont="1" applyFill="1" applyBorder="1" applyAlignment="1" applyProtection="1">
      <alignment horizontal="center"/>
      <protection/>
    </xf>
    <xf numFmtId="0" fontId="2" fillId="37" borderId="19" xfId="105" applyFont="1" applyFill="1" applyBorder="1" applyAlignment="1" applyProtection="1">
      <alignment horizontal="center"/>
      <protection/>
    </xf>
    <xf numFmtId="2" fontId="2" fillId="37" borderId="19" xfId="105" applyNumberFormat="1" applyFont="1" applyFill="1" applyBorder="1" applyAlignment="1" applyProtection="1">
      <alignment horizontal="center"/>
      <protection/>
    </xf>
    <xf numFmtId="0" fontId="7" fillId="37" borderId="20" xfId="105" applyFont="1" applyFill="1" applyBorder="1" applyAlignment="1" applyProtection="1">
      <alignment horizontal="center"/>
      <protection/>
    </xf>
    <xf numFmtId="2" fontId="7" fillId="37" borderId="20" xfId="105" applyNumberFormat="1" applyFont="1" applyFill="1" applyBorder="1" applyAlignment="1" applyProtection="1">
      <alignment horizontal="center"/>
      <protection/>
    </xf>
    <xf numFmtId="0" fontId="2" fillId="0" borderId="21" xfId="105" applyFont="1" applyFill="1" applyBorder="1" applyAlignment="1" applyProtection="1">
      <alignment horizontal="center"/>
      <protection/>
    </xf>
    <xf numFmtId="2" fontId="7" fillId="37" borderId="19" xfId="105" applyNumberFormat="1" applyFont="1" applyFill="1" applyBorder="1" applyAlignment="1" applyProtection="1" quotePrefix="1">
      <alignment horizontal="center"/>
      <protection/>
    </xf>
    <xf numFmtId="0" fontId="2" fillId="37" borderId="21" xfId="105" applyFont="1" applyFill="1" applyBorder="1" applyAlignment="1" applyProtection="1">
      <alignment horizontal="center"/>
      <protection/>
    </xf>
    <xf numFmtId="0" fontId="7" fillId="37" borderId="21" xfId="105" applyFont="1" applyFill="1" applyBorder="1" applyAlignment="1" applyProtection="1">
      <alignment horizontal="center"/>
      <protection/>
    </xf>
    <xf numFmtId="0" fontId="2" fillId="37" borderId="20" xfId="105" applyFont="1" applyFill="1" applyBorder="1" applyAlignment="1" applyProtection="1">
      <alignment horizontal="center"/>
      <protection/>
    </xf>
    <xf numFmtId="2" fontId="2" fillId="37" borderId="20" xfId="105" applyNumberFormat="1" applyFont="1" applyFill="1" applyBorder="1" applyAlignment="1" applyProtection="1">
      <alignment horizontal="center"/>
      <protection/>
    </xf>
    <xf numFmtId="0" fontId="2" fillId="0" borderId="22" xfId="105" applyFont="1" applyFill="1" applyBorder="1" applyAlignment="1" applyProtection="1">
      <alignment horizontal="center"/>
      <protection/>
    </xf>
    <xf numFmtId="0" fontId="2" fillId="0" borderId="23" xfId="105" applyFont="1" applyFill="1" applyBorder="1" applyAlignment="1" applyProtection="1">
      <alignment horizontal="center"/>
      <protection/>
    </xf>
    <xf numFmtId="0" fontId="7" fillId="37" borderId="23" xfId="105" applyFont="1" applyFill="1" applyBorder="1" applyAlignment="1" applyProtection="1">
      <alignment horizontal="center"/>
      <protection/>
    </xf>
    <xf numFmtId="2" fontId="7" fillId="37" borderId="24" xfId="105" applyNumberFormat="1" applyFont="1" applyFill="1" applyBorder="1" applyAlignment="1" applyProtection="1">
      <alignment horizontal="center"/>
      <protection/>
    </xf>
    <xf numFmtId="2" fontId="7" fillId="37" borderId="25" xfId="105" applyNumberFormat="1" applyFont="1" applyFill="1" applyBorder="1" applyAlignment="1" applyProtection="1">
      <alignment horizontal="center"/>
      <protection/>
    </xf>
    <xf numFmtId="0" fontId="5" fillId="0" borderId="0" xfId="105" applyFont="1" applyFill="1" applyBorder="1" applyAlignment="1" applyProtection="1">
      <alignment horizontal="left"/>
      <protection/>
    </xf>
    <xf numFmtId="0" fontId="2" fillId="0" borderId="0" xfId="105" applyBorder="1" applyAlignment="1" applyProtection="1">
      <alignment horizontal="left"/>
      <protection/>
    </xf>
    <xf numFmtId="0" fontId="2" fillId="0" borderId="0" xfId="105" applyFill="1" applyBorder="1" applyAlignment="1" applyProtection="1">
      <alignment horizontal="left"/>
      <protection/>
    </xf>
    <xf numFmtId="0" fontId="7" fillId="37" borderId="19" xfId="105" applyFont="1" applyFill="1" applyBorder="1" applyAlignment="1" applyProtection="1">
      <alignment horizontal="center"/>
      <protection/>
    </xf>
    <xf numFmtId="2" fontId="7" fillId="37" borderId="19" xfId="105" applyNumberFormat="1" applyFont="1" applyFill="1" applyBorder="1" applyAlignment="1" applyProtection="1">
      <alignment horizontal="center"/>
      <protection/>
    </xf>
    <xf numFmtId="2" fontId="7" fillId="37" borderId="23" xfId="105" applyNumberFormat="1" applyFont="1" applyFill="1" applyBorder="1" applyAlignment="1" applyProtection="1">
      <alignment horizontal="center"/>
      <protection/>
    </xf>
    <xf numFmtId="0" fontId="7" fillId="37" borderId="0" xfId="105" applyFont="1" applyFill="1" applyBorder="1" applyAlignment="1" applyProtection="1">
      <alignment horizontal="center"/>
      <protection/>
    </xf>
    <xf numFmtId="0" fontId="2" fillId="0" borderId="0" xfId="105" applyFont="1" applyFill="1" applyBorder="1" applyAlignment="1" applyProtection="1">
      <alignment horizontal="center"/>
      <protection/>
    </xf>
    <xf numFmtId="0" fontId="2" fillId="0" borderId="0" xfId="105" applyFont="1" applyAlignment="1" applyProtection="1">
      <alignment horizontal="left"/>
      <protection/>
    </xf>
    <xf numFmtId="0" fontId="2" fillId="0" borderId="0" xfId="105" applyFont="1" applyAlignment="1" applyProtection="1">
      <alignment horizontal="center"/>
      <protection/>
    </xf>
    <xf numFmtId="49" fontId="2" fillId="0" borderId="0" xfId="105" applyNumberFormat="1" applyFont="1" applyFill="1" applyAlignment="1" applyProtection="1">
      <alignment horizontal="right" vertical="center"/>
      <protection/>
    </xf>
    <xf numFmtId="2" fontId="2" fillId="49" borderId="0" xfId="105" applyNumberFormat="1" applyFont="1" applyFill="1" applyAlignment="1" applyProtection="1">
      <alignment horizontal="right"/>
      <protection locked="0"/>
    </xf>
    <xf numFmtId="0" fontId="81" fillId="49" borderId="0" xfId="105" applyFont="1" applyFill="1" applyAlignment="1" applyProtection="1">
      <alignment/>
      <protection locked="0"/>
    </xf>
    <xf numFmtId="0" fontId="7" fillId="0" borderId="0" xfId="105" applyFont="1" applyAlignment="1" applyProtection="1">
      <alignment horizontal="left"/>
      <protection/>
    </xf>
    <xf numFmtId="0" fontId="2" fillId="0" borderId="0" xfId="105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9" fontId="2" fillId="0" borderId="0" xfId="105" applyNumberFormat="1" applyFont="1" applyAlignment="1" applyProtection="1">
      <alignment horizontal="center"/>
      <protection/>
    </xf>
    <xf numFmtId="0" fontId="7" fillId="0" borderId="0" xfId="105" applyFont="1" applyFill="1" applyBorder="1" applyAlignment="1" applyProtection="1">
      <alignment horizontal="center" vertical="center"/>
      <protection/>
    </xf>
    <xf numFmtId="2" fontId="2" fillId="0" borderId="0" xfId="105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0" xfId="105" applyNumberFormat="1" applyFont="1" applyAlignment="1" applyProtection="1">
      <alignment horizontal="left"/>
      <protection/>
    </xf>
    <xf numFmtId="0" fontId="2" fillId="0" borderId="0" xfId="105" applyFont="1" applyFill="1" applyBorder="1" applyAlignment="1" applyProtection="1">
      <alignment horizontal="left"/>
      <protection/>
    </xf>
    <xf numFmtId="0" fontId="2" fillId="0" borderId="0" xfId="105" applyFont="1" applyFill="1" applyBorder="1" applyAlignment="1" applyProtection="1">
      <alignment horizontal="center" vertical="center"/>
      <protection/>
    </xf>
    <xf numFmtId="0" fontId="2" fillId="0" borderId="0" xfId="105" applyFont="1" applyBorder="1" applyAlignment="1" applyProtection="1">
      <alignment horizontal="left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2" fontId="2" fillId="0" borderId="19" xfId="105" applyNumberFormat="1" applyFont="1" applyFill="1" applyBorder="1" applyAlignment="1" applyProtection="1">
      <alignment horizontal="right" indent="1"/>
      <protection/>
    </xf>
    <xf numFmtId="0" fontId="40" fillId="0" borderId="0" xfId="105" applyFont="1" applyFill="1" applyBorder="1" applyAlignment="1" applyProtection="1">
      <alignment horizontal="center" vertical="center"/>
      <protection/>
    </xf>
    <xf numFmtId="2" fontId="7" fillId="0" borderId="19" xfId="105" applyNumberFormat="1" applyFont="1" applyFill="1" applyBorder="1" applyAlignment="1" applyProtection="1">
      <alignment horizontal="center"/>
      <protection/>
    </xf>
    <xf numFmtId="164" fontId="2" fillId="0" borderId="0" xfId="105" applyNumberFormat="1" applyFont="1" applyAlignment="1" applyProtection="1">
      <alignment horizontal="center"/>
      <protection/>
    </xf>
    <xf numFmtId="164" fontId="81" fillId="0" borderId="0" xfId="105" applyNumberFormat="1" applyFont="1" applyAlignment="1" applyProtection="1">
      <alignment horizontal="center"/>
      <protection/>
    </xf>
    <xf numFmtId="0" fontId="2" fillId="0" borderId="0" xfId="105" applyFont="1" applyFill="1" applyAlignment="1" applyProtection="1">
      <alignment horizontal="left"/>
      <protection/>
    </xf>
    <xf numFmtId="0" fontId="7" fillId="0" borderId="0" xfId="105" applyFont="1" applyFill="1" applyAlignment="1" applyProtection="1">
      <alignment horizontal="left" vertical="top"/>
      <protection/>
    </xf>
    <xf numFmtId="2" fontId="2" fillId="0" borderId="0" xfId="105" applyNumberFormat="1" applyFont="1" applyFill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2" fillId="0" borderId="0" xfId="105" applyFont="1" applyAlignment="1" applyProtection="1">
      <alignment horizontal="center"/>
      <protection/>
    </xf>
    <xf numFmtId="0" fontId="2" fillId="0" borderId="26" xfId="105" applyFont="1" applyBorder="1" applyAlignment="1" applyProtection="1">
      <alignment horizontal="left"/>
      <protection/>
    </xf>
    <xf numFmtId="49" fontId="2" fillId="0" borderId="27" xfId="105" applyNumberFormat="1" applyFont="1" applyBorder="1" applyAlignment="1" applyProtection="1">
      <alignment horizontal="right" vertical="center"/>
      <protection/>
    </xf>
    <xf numFmtId="0" fontId="38" fillId="0" borderId="28" xfId="105" applyFont="1" applyBorder="1" applyAlignment="1" applyProtection="1">
      <alignment horizontal="right" vertical="center"/>
      <protection/>
    </xf>
    <xf numFmtId="0" fontId="2" fillId="0" borderId="29" xfId="105" applyFont="1" applyBorder="1" applyAlignment="1" applyProtection="1">
      <alignment horizontal="center"/>
      <protection/>
    </xf>
    <xf numFmtId="2" fontId="2" fillId="0" borderId="29" xfId="105" applyNumberFormat="1" applyFont="1" applyFill="1" applyBorder="1" applyAlignment="1" applyProtection="1">
      <alignment horizontal="right" vertical="center" indent="1"/>
      <protection/>
    </xf>
    <xf numFmtId="0" fontId="2" fillId="0" borderId="28" xfId="105" applyFont="1" applyBorder="1" applyAlignment="1" applyProtection="1">
      <alignment horizontal="center" vertical="top"/>
      <protection/>
    </xf>
    <xf numFmtId="0" fontId="2" fillId="0" borderId="28" xfId="105" applyFont="1" applyFill="1" applyBorder="1" applyAlignment="1" applyProtection="1">
      <alignment horizontal="left"/>
      <protection/>
    </xf>
    <xf numFmtId="0" fontId="2" fillId="0" borderId="29" xfId="105" applyFont="1" applyFill="1" applyBorder="1" applyAlignment="1" applyProtection="1">
      <alignment horizontal="left"/>
      <protection/>
    </xf>
    <xf numFmtId="0" fontId="2" fillId="0" borderId="28" xfId="105" applyFont="1" applyBorder="1" applyAlignment="1" applyProtection="1">
      <alignment horizontal="left"/>
      <protection/>
    </xf>
    <xf numFmtId="0" fontId="2" fillId="0" borderId="29" xfId="105" applyFont="1" applyBorder="1" applyAlignment="1" applyProtection="1">
      <alignment horizontal="left"/>
      <protection/>
    </xf>
    <xf numFmtId="0" fontId="38" fillId="0" borderId="28" xfId="105" applyFont="1" applyFill="1" applyBorder="1" applyAlignment="1" applyProtection="1">
      <alignment horizontal="left" vertical="center"/>
      <protection/>
    </xf>
    <xf numFmtId="0" fontId="2" fillId="0" borderId="28" xfId="105" applyFont="1" applyFill="1" applyBorder="1" applyAlignment="1" applyProtection="1">
      <alignment horizontal="left" vertical="center"/>
      <protection/>
    </xf>
    <xf numFmtId="0" fontId="41" fillId="0" borderId="28" xfId="105" applyFont="1" applyBorder="1" applyAlignment="1" applyProtection="1">
      <alignment horizontal="left" vertical="top"/>
      <protection/>
    </xf>
    <xf numFmtId="0" fontId="7" fillId="0" borderId="0" xfId="105" applyFont="1" applyBorder="1" applyAlignment="1" applyProtection="1">
      <alignment horizontal="left" vertical="top"/>
      <protection/>
    </xf>
    <xf numFmtId="0" fontId="7" fillId="0" borderId="29" xfId="105" applyFont="1" applyBorder="1" applyAlignment="1" applyProtection="1">
      <alignment horizontal="left" vertical="top"/>
      <protection/>
    </xf>
    <xf numFmtId="0" fontId="2" fillId="0" borderId="30" xfId="105" applyFont="1" applyBorder="1" applyAlignment="1" applyProtection="1">
      <alignment horizontal="left"/>
      <protection/>
    </xf>
    <xf numFmtId="0" fontId="2" fillId="0" borderId="31" xfId="105" applyFont="1" applyBorder="1" applyAlignment="1" applyProtection="1">
      <alignment horizontal="left"/>
      <protection/>
    </xf>
    <xf numFmtId="0" fontId="2" fillId="0" borderId="32" xfId="105" applyFont="1" applyBorder="1" applyAlignment="1" applyProtection="1">
      <alignment horizontal="left"/>
      <protection/>
    </xf>
    <xf numFmtId="0" fontId="7" fillId="37" borderId="33" xfId="105" applyFont="1" applyFill="1" applyBorder="1" applyAlignment="1" applyProtection="1">
      <alignment horizontal="center"/>
      <protection/>
    </xf>
    <xf numFmtId="0" fontId="2" fillId="0" borderId="34" xfId="105" applyFont="1" applyFill="1" applyBorder="1" applyAlignment="1" applyProtection="1">
      <alignment horizontal="center"/>
      <protection/>
    </xf>
    <xf numFmtId="0" fontId="7" fillId="37" borderId="34" xfId="105" applyFont="1" applyFill="1" applyBorder="1" applyAlignment="1" applyProtection="1">
      <alignment horizontal="center"/>
      <protection/>
    </xf>
    <xf numFmtId="2" fontId="7" fillId="37" borderId="34" xfId="105" applyNumberFormat="1" applyFont="1" applyFill="1" applyBorder="1" applyAlignment="1" applyProtection="1">
      <alignment horizontal="center"/>
      <protection/>
    </xf>
    <xf numFmtId="0" fontId="7" fillId="37" borderId="35" xfId="105" applyFont="1" applyFill="1" applyBorder="1" applyAlignment="1" applyProtection="1">
      <alignment horizontal="center"/>
      <protection/>
    </xf>
    <xf numFmtId="0" fontId="2" fillId="37" borderId="35" xfId="105" applyFont="1" applyFill="1" applyBorder="1" applyAlignment="1" applyProtection="1">
      <alignment horizontal="center"/>
      <protection/>
    </xf>
    <xf numFmtId="0" fontId="7" fillId="37" borderId="36" xfId="105" applyFont="1" applyFill="1" applyBorder="1" applyAlignment="1" applyProtection="1">
      <alignment horizontal="center"/>
      <protection/>
    </xf>
    <xf numFmtId="0" fontId="2" fillId="0" borderId="19" xfId="105" applyFont="1" applyBorder="1" applyAlignment="1" applyProtection="1">
      <alignment/>
      <protection/>
    </xf>
    <xf numFmtId="0" fontId="2" fillId="0" borderId="37" xfId="105" applyFont="1" applyBorder="1" applyAlignment="1" applyProtection="1">
      <alignment/>
      <protection/>
    </xf>
    <xf numFmtId="0" fontId="2" fillId="0" borderId="33" xfId="105" applyFont="1" applyBorder="1" applyAlignment="1" applyProtection="1">
      <alignment/>
      <protection/>
    </xf>
    <xf numFmtId="0" fontId="2" fillId="0" borderId="38" xfId="105" applyFont="1" applyBorder="1" applyAlignment="1" applyProtection="1">
      <alignment/>
      <protection/>
    </xf>
    <xf numFmtId="0" fontId="7" fillId="0" borderId="39" xfId="105" applyFont="1" applyBorder="1" applyAlignment="1" applyProtection="1">
      <alignment/>
      <protection/>
    </xf>
    <xf numFmtId="0" fontId="2" fillId="0" borderId="39" xfId="105" applyFont="1" applyBorder="1" applyAlignment="1" applyProtection="1">
      <alignment/>
      <protection/>
    </xf>
    <xf numFmtId="0" fontId="2" fillId="0" borderId="40" xfId="105" applyFont="1" applyBorder="1" applyAlignment="1" applyProtection="1">
      <alignment/>
      <protection/>
    </xf>
    <xf numFmtId="0" fontId="2" fillId="0" borderId="41" xfId="105" applyFont="1" applyBorder="1" applyAlignment="1" applyProtection="1">
      <alignment/>
      <protection/>
    </xf>
    <xf numFmtId="0" fontId="7" fillId="0" borderId="38" xfId="105" applyFont="1" applyBorder="1" applyAlignment="1" applyProtection="1">
      <alignment/>
      <protection/>
    </xf>
    <xf numFmtId="0" fontId="2" fillId="0" borderId="21" xfId="105" applyFont="1" applyBorder="1" applyAlignment="1" applyProtection="1">
      <alignment/>
      <protection/>
    </xf>
    <xf numFmtId="0" fontId="2" fillId="0" borderId="20" xfId="105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2" fillId="0" borderId="42" xfId="105" applyFont="1" applyBorder="1" applyAlignment="1" applyProtection="1">
      <alignment/>
      <protection/>
    </xf>
    <xf numFmtId="0" fontId="2" fillId="0" borderId="22" xfId="105" applyFont="1" applyBorder="1" applyAlignment="1" applyProtection="1">
      <alignment/>
      <protection/>
    </xf>
    <xf numFmtId="0" fontId="2" fillId="0" borderId="23" xfId="105" applyFont="1" applyBorder="1" applyAlignment="1" applyProtection="1">
      <alignment/>
      <protection/>
    </xf>
    <xf numFmtId="0" fontId="2" fillId="0" borderId="43" xfId="105" applyFont="1" applyBorder="1" applyAlignment="1" applyProtection="1">
      <alignment/>
      <protection/>
    </xf>
    <xf numFmtId="0" fontId="2" fillId="0" borderId="24" xfId="105" applyFont="1" applyBorder="1" applyAlignment="1" applyProtection="1">
      <alignment/>
      <protection/>
    </xf>
    <xf numFmtId="0" fontId="2" fillId="0" borderId="19" xfId="105" applyFont="1" applyFill="1" applyBorder="1" applyAlignment="1" applyProtection="1">
      <alignment/>
      <protection/>
    </xf>
    <xf numFmtId="0" fontId="7" fillId="0" borderId="19" xfId="105" applyFont="1" applyFill="1" applyBorder="1" applyAlignment="1" applyProtection="1">
      <alignment/>
      <protection/>
    </xf>
    <xf numFmtId="0" fontId="7" fillId="0" borderId="19" xfId="105" applyFont="1" applyFill="1" applyBorder="1" applyAlignment="1" applyProtection="1">
      <alignment horizontal="center"/>
      <protection/>
    </xf>
    <xf numFmtId="0" fontId="79" fillId="0" borderId="19" xfId="0" applyFont="1" applyFill="1" applyBorder="1" applyAlignment="1" applyProtection="1">
      <alignment horizontal="center"/>
      <protection/>
    </xf>
    <xf numFmtId="0" fontId="7" fillId="0" borderId="41" xfId="105" applyFont="1" applyBorder="1" applyAlignment="1" applyProtection="1">
      <alignment horizontal="center"/>
      <protection/>
    </xf>
    <xf numFmtId="0" fontId="2" fillId="0" borderId="34" xfId="105" applyFont="1" applyBorder="1" applyAlignment="1" applyProtection="1">
      <alignment/>
      <protection/>
    </xf>
    <xf numFmtId="0" fontId="2" fillId="0" borderId="19" xfId="105" applyFont="1" applyBorder="1" applyAlignment="1" applyProtection="1" quotePrefix="1">
      <alignment horizontal="left"/>
      <protection/>
    </xf>
    <xf numFmtId="0" fontId="5" fillId="0" borderId="19" xfId="0" applyFont="1" applyBorder="1" applyAlignment="1" applyProtection="1">
      <alignment horizontal="center"/>
      <protection/>
    </xf>
    <xf numFmtId="0" fontId="2" fillId="0" borderId="19" xfId="105" applyFont="1" applyBorder="1" applyAlignment="1" applyProtection="1" quotePrefix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2" fontId="2" fillId="0" borderId="19" xfId="105" applyNumberFormat="1" applyFont="1" applyBorder="1" applyAlignment="1" applyProtection="1">
      <alignment horizontal="center"/>
      <protection/>
    </xf>
    <xf numFmtId="0" fontId="2" fillId="0" borderId="44" xfId="105" applyFont="1" applyBorder="1" applyAlignment="1" applyProtection="1">
      <alignment/>
      <protection/>
    </xf>
    <xf numFmtId="0" fontId="2" fillId="0" borderId="45" xfId="105" applyFont="1" applyBorder="1" applyAlignment="1" applyProtection="1">
      <alignment/>
      <protection/>
    </xf>
    <xf numFmtId="0" fontId="2" fillId="0" borderId="46" xfId="105" applyFont="1" applyBorder="1" applyAlignment="1" applyProtection="1">
      <alignment/>
      <protection/>
    </xf>
    <xf numFmtId="0" fontId="7" fillId="0" borderId="19" xfId="105" applyFont="1" applyBorder="1" applyAlignment="1" applyProtection="1">
      <alignment/>
      <protection/>
    </xf>
    <xf numFmtId="0" fontId="2" fillId="0" borderId="36" xfId="105" applyFont="1" applyBorder="1" applyAlignment="1" applyProtection="1">
      <alignment/>
      <protection/>
    </xf>
    <xf numFmtId="2" fontId="2" fillId="0" borderId="19" xfId="105" applyNumberFormat="1" applyFont="1" applyBorder="1" applyAlignment="1" applyProtection="1">
      <alignment/>
      <protection/>
    </xf>
    <xf numFmtId="0" fontId="2" fillId="0" borderId="19" xfId="105" applyFont="1" applyBorder="1" applyAlignment="1" applyProtection="1">
      <alignment horizontal="center"/>
      <protection/>
    </xf>
    <xf numFmtId="0" fontId="2" fillId="0" borderId="19" xfId="105" applyFont="1" applyBorder="1" applyProtection="1">
      <alignment/>
      <protection/>
    </xf>
    <xf numFmtId="2" fontId="2" fillId="0" borderId="19" xfId="105" applyNumberFormat="1" applyFont="1" applyBorder="1" applyAlignment="1" applyProtection="1" quotePrefix="1">
      <alignment/>
      <protection/>
    </xf>
    <xf numFmtId="2" fontId="7" fillId="37" borderId="0" xfId="105" applyNumberFormat="1" applyFont="1" applyFill="1" applyBorder="1" applyAlignment="1" applyProtection="1">
      <alignment horizontal="center"/>
      <protection/>
    </xf>
    <xf numFmtId="2" fontId="39" fillId="0" borderId="36" xfId="0" applyNumberFormat="1" applyFont="1" applyFill="1" applyBorder="1" applyAlignment="1" applyProtection="1">
      <alignment horizontal="center"/>
      <protection/>
    </xf>
    <xf numFmtId="2" fontId="2" fillId="0" borderId="34" xfId="105" applyNumberFormat="1" applyFont="1" applyFill="1" applyBorder="1" applyAlignment="1" applyProtection="1">
      <alignment horizontal="right" indent="1"/>
      <protection/>
    </xf>
    <xf numFmtId="164" fontId="2" fillId="0" borderId="0" xfId="105" applyNumberFormat="1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horizontal="right" indent="1"/>
      <protection/>
    </xf>
    <xf numFmtId="0" fontId="43" fillId="0" borderId="0" xfId="105" applyFont="1" applyFill="1" applyBorder="1" applyAlignment="1" applyProtection="1">
      <alignment horizontal="left"/>
      <protection/>
    </xf>
    <xf numFmtId="2" fontId="42" fillId="0" borderId="0" xfId="105" applyNumberFormat="1" applyFont="1" applyFill="1" applyBorder="1" applyAlignment="1" applyProtection="1">
      <alignment horizontal="left" vertical="center"/>
      <protection/>
    </xf>
    <xf numFmtId="0" fontId="79" fillId="0" borderId="0" xfId="0" applyFont="1" applyAlignment="1">
      <alignment vertical="center"/>
    </xf>
    <xf numFmtId="0" fontId="73" fillId="0" borderId="0" xfId="100" applyAlignment="1">
      <alignment vertical="center"/>
    </xf>
    <xf numFmtId="0" fontId="5" fillId="0" borderId="0" xfId="105" applyFont="1" applyAlignment="1" applyProtection="1">
      <alignment horizontal="left"/>
      <protection/>
    </xf>
    <xf numFmtId="0" fontId="5" fillId="0" borderId="0" xfId="105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2" fontId="2" fillId="0" borderId="34" xfId="105" applyNumberFormat="1" applyFont="1" applyFill="1" applyBorder="1" applyAlignment="1" applyProtection="1">
      <alignment horizontal="right"/>
      <protection/>
    </xf>
    <xf numFmtId="2" fontId="2" fillId="0" borderId="19" xfId="105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vertical="top"/>
    </xf>
    <xf numFmtId="2" fontId="5" fillId="0" borderId="19" xfId="105" applyNumberFormat="1" applyFont="1" applyFill="1" applyBorder="1" applyAlignment="1" applyProtection="1">
      <alignment horizontal="right"/>
      <protection/>
    </xf>
    <xf numFmtId="0" fontId="2" fillId="0" borderId="0" xfId="105" applyAlignment="1" applyProtection="1">
      <alignment horizontal="center"/>
      <protection/>
    </xf>
    <xf numFmtId="0" fontId="5" fillId="0" borderId="0" xfId="105" applyFont="1" applyBorder="1" applyAlignment="1" applyProtection="1">
      <alignment horizontal="left"/>
      <protection/>
    </xf>
    <xf numFmtId="0" fontId="5" fillId="0" borderId="0" xfId="105" applyFont="1" applyBorder="1" applyAlignment="1" applyProtection="1">
      <alignment horizontal="center" vertical="top"/>
      <protection/>
    </xf>
    <xf numFmtId="0" fontId="42" fillId="50" borderId="47" xfId="105" applyFont="1" applyFill="1" applyBorder="1" applyAlignment="1" applyProtection="1">
      <alignment horizontal="center" vertical="center"/>
      <protection/>
    </xf>
    <xf numFmtId="0" fontId="6" fillId="0" borderId="25" xfId="105" applyFont="1" applyBorder="1" applyAlignment="1" applyProtection="1">
      <alignment horizontal="left" vertical="center"/>
      <protection/>
    </xf>
    <xf numFmtId="2" fontId="5" fillId="19" borderId="48" xfId="0" applyNumberFormat="1" applyFont="1" applyFill="1" applyBorder="1" applyAlignment="1" applyProtection="1">
      <alignment horizontal="right" indent="1"/>
      <protection locked="0"/>
    </xf>
    <xf numFmtId="2" fontId="5" fillId="51" borderId="48" xfId="105" applyNumberFormat="1" applyFont="1" applyFill="1" applyBorder="1" applyAlignment="1" applyProtection="1">
      <alignment horizontal="right" vertical="center" indent="1"/>
      <protection/>
    </xf>
    <xf numFmtId="0" fontId="42" fillId="0" borderId="25" xfId="105" applyFont="1" applyBorder="1" applyAlignment="1" applyProtection="1">
      <alignment horizontal="left" vertical="center"/>
      <protection/>
    </xf>
    <xf numFmtId="0" fontId="6" fillId="0" borderId="0" xfId="105" applyFont="1" applyFill="1" applyBorder="1" applyAlignment="1" applyProtection="1">
      <alignment horizontal="center" vertical="center"/>
      <protection/>
    </xf>
    <xf numFmtId="0" fontId="6" fillId="0" borderId="49" xfId="105" applyFont="1" applyBorder="1" applyAlignment="1" applyProtection="1">
      <alignment horizontal="right" vertical="center" indent="1"/>
      <protection/>
    </xf>
    <xf numFmtId="0" fontId="5" fillId="0" borderId="25" xfId="105" applyFont="1" applyBorder="1" applyAlignment="1" applyProtection="1">
      <alignment horizontal="right"/>
      <protection/>
    </xf>
    <xf numFmtId="0" fontId="6" fillId="0" borderId="50" xfId="105" applyFont="1" applyBorder="1" applyAlignment="1" applyProtection="1">
      <alignment horizontal="right" vertical="center" indent="1"/>
      <protection/>
    </xf>
    <xf numFmtId="0" fontId="0" fillId="0" borderId="0" xfId="0" applyFont="1" applyAlignment="1">
      <alignment horizontal="left" vertical="center" indent="3"/>
    </xf>
    <xf numFmtId="0" fontId="6" fillId="0" borderId="48" xfId="105" applyFont="1" applyBorder="1" applyAlignment="1" applyProtection="1">
      <alignment horizontal="center" vertical="center"/>
      <protection/>
    </xf>
    <xf numFmtId="0" fontId="42" fillId="0" borderId="0" xfId="105" applyFont="1" applyBorder="1" applyAlignment="1" applyProtection="1">
      <alignment horizontal="right"/>
      <protection/>
    </xf>
    <xf numFmtId="0" fontId="6" fillId="0" borderId="0" xfId="105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105" applyFont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79" fillId="0" borderId="0" xfId="0" applyFont="1" applyAlignment="1">
      <alignment vertical="top" wrapText="1"/>
    </xf>
    <xf numFmtId="2" fontId="42" fillId="0" borderId="0" xfId="105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/>
    </xf>
    <xf numFmtId="2" fontId="6" fillId="0" borderId="51" xfId="105" applyNumberFormat="1" applyFont="1" applyFill="1" applyBorder="1" applyAlignment="1" applyProtection="1">
      <alignment horizontal="left" vertical="top" wrapText="1"/>
      <protection/>
    </xf>
    <xf numFmtId="0" fontId="0" fillId="0" borderId="52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1" xfId="0" applyBorder="1" applyAlignment="1">
      <alignment wrapText="1"/>
    </xf>
    <xf numFmtId="0" fontId="0" fillId="0" borderId="0" xfId="0" applyAlignment="1">
      <alignment wrapText="1"/>
    </xf>
    <xf numFmtId="0" fontId="0" fillId="0" borderId="52" xfId="0" applyBorder="1" applyAlignment="1">
      <alignment wrapText="1"/>
    </xf>
    <xf numFmtId="0" fontId="42" fillId="52" borderId="53" xfId="105" applyFont="1" applyFill="1" applyBorder="1" applyAlignment="1" applyProtection="1">
      <alignment horizontal="left" vertical="center" indent="1"/>
      <protection locked="0"/>
    </xf>
    <xf numFmtId="0" fontId="0" fillId="52" borderId="53" xfId="0" applyFont="1" applyFill="1" applyBorder="1" applyAlignment="1" applyProtection="1">
      <alignment horizontal="left" vertical="center" indent="1"/>
      <protection locked="0"/>
    </xf>
    <xf numFmtId="0" fontId="4" fillId="0" borderId="0" xfId="105" applyFont="1" applyBorder="1" applyAlignment="1" applyProtection="1">
      <alignment horizontal="center" vertical="center"/>
      <protection/>
    </xf>
    <xf numFmtId="0" fontId="6" fillId="0" borderId="0" xfId="105" applyFont="1" applyFill="1" applyBorder="1" applyAlignment="1" applyProtection="1">
      <alignment horizontal="left" vertical="top" wrapText="1"/>
      <protection/>
    </xf>
    <xf numFmtId="0" fontId="3" fillId="0" borderId="54" xfId="105" applyFont="1" applyBorder="1" applyAlignment="1" applyProtection="1">
      <alignment horizontal="center"/>
      <protection/>
    </xf>
    <xf numFmtId="0" fontId="3" fillId="0" borderId="0" xfId="105" applyFont="1" applyBorder="1" applyAlignment="1" applyProtection="1">
      <alignment horizontal="center"/>
      <protection/>
    </xf>
    <xf numFmtId="0" fontId="2" fillId="0" borderId="0" xfId="105" applyFont="1" applyFill="1" applyBorder="1" applyAlignment="1" applyProtection="1">
      <alignment horizontal="center" vertical="center"/>
      <protection/>
    </xf>
    <xf numFmtId="2" fontId="7" fillId="0" borderId="0" xfId="105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 horizontal="center" vertical="center"/>
      <protection/>
    </xf>
    <xf numFmtId="49" fontId="42" fillId="52" borderId="53" xfId="105" applyNumberFormat="1" applyFont="1" applyFill="1" applyBorder="1" applyAlignment="1" applyProtection="1">
      <alignment horizontal="left" vertical="center" indent="1"/>
      <protection locked="0"/>
    </xf>
    <xf numFmtId="49" fontId="0" fillId="52" borderId="53" xfId="0" applyNumberFormat="1" applyFont="1" applyFill="1" applyBorder="1" applyAlignment="1" applyProtection="1">
      <alignment horizontal="left" vertical="center" indent="1"/>
      <protection locked="0"/>
    </xf>
    <xf numFmtId="0" fontId="6" fillId="0" borderId="55" xfId="10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53" borderId="25" xfId="105" applyFont="1" applyFill="1" applyBorder="1" applyAlignment="1" applyProtection="1">
      <alignment horizontal="center"/>
      <protection/>
    </xf>
    <xf numFmtId="0" fontId="7" fillId="53" borderId="27" xfId="105" applyFont="1" applyFill="1" applyBorder="1" applyAlignment="1" applyProtection="1">
      <alignment horizontal="center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2" xfId="40"/>
    <cellStyle name="40% - Énfasis3" xfId="41"/>
    <cellStyle name="40% - Énfasis4" xfId="42"/>
    <cellStyle name="40% - Énfasis5" xfId="43"/>
    <cellStyle name="40% - Énfasis6" xfId="44"/>
    <cellStyle name="40% - アクセント 1" xfId="45"/>
    <cellStyle name="40% - アクセント 2" xfId="46"/>
    <cellStyle name="40% - アクセント 3" xfId="47"/>
    <cellStyle name="40% - アクセント 4" xfId="48"/>
    <cellStyle name="40% - アクセント 5" xfId="49"/>
    <cellStyle name="40% - アクセント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2" xfId="58"/>
    <cellStyle name="60% - Énfasis3" xfId="59"/>
    <cellStyle name="60% - Énfasis4" xfId="60"/>
    <cellStyle name="60% - Énfasis5" xfId="61"/>
    <cellStyle name="60% - Énfasis6" xfId="62"/>
    <cellStyle name="60% - アクセント 1" xfId="63"/>
    <cellStyle name="60% - アクセント 2" xfId="64"/>
    <cellStyle name="60% - アクセント 3" xfId="65"/>
    <cellStyle name="60% - アクセント 4" xfId="66"/>
    <cellStyle name="60% - アクセント 5" xfId="67"/>
    <cellStyle name="60% - アクセント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Calculation" xfId="77"/>
    <cellStyle name="Cálculo" xfId="78"/>
    <cellStyle name="Celda de comprobación" xfId="79"/>
    <cellStyle name="Celda vinculada" xfId="80"/>
    <cellStyle name="Check Cell" xfId="81"/>
    <cellStyle name="Comma" xfId="82"/>
    <cellStyle name="Comma [0]" xfId="83"/>
    <cellStyle name="Currency" xfId="84"/>
    <cellStyle name="Currency [0]" xfId="85"/>
    <cellStyle name="Encabezado 4" xfId="86"/>
    <cellStyle name="Énfasis1" xfId="87"/>
    <cellStyle name="Énfasis2" xfId="88"/>
    <cellStyle name="Énfasis3" xfId="89"/>
    <cellStyle name="Énfasis4" xfId="90"/>
    <cellStyle name="Énfasis5" xfId="91"/>
    <cellStyle name="Énfasis6" xfId="92"/>
    <cellStyle name="Entrada" xfId="93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Hyperlink" xfId="100"/>
    <cellStyle name="Incorrecto" xfId="101"/>
    <cellStyle name="Input" xfId="102"/>
    <cellStyle name="Linked Cell" xfId="103"/>
    <cellStyle name="Neutral" xfId="104"/>
    <cellStyle name="Normal 2" xfId="105"/>
    <cellStyle name="Normal 2 2" xfId="106"/>
    <cellStyle name="Normal 3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ítulo_Lang Boat" xfId="120"/>
    <cellStyle name="Total" xfId="121"/>
    <cellStyle name="Warning Text" xfId="122"/>
    <cellStyle name="アクセント 1" xfId="123"/>
    <cellStyle name="アクセント 2" xfId="124"/>
    <cellStyle name="アクセント 3" xfId="125"/>
    <cellStyle name="アクセント 4" xfId="126"/>
    <cellStyle name="アクセント 5" xfId="127"/>
    <cellStyle name="アクセント 6" xfId="128"/>
    <cellStyle name="タイトル" xfId="129"/>
    <cellStyle name="チェック セル" xfId="130"/>
    <cellStyle name="どちらでもない" xfId="131"/>
    <cellStyle name="メモ" xfId="132"/>
    <cellStyle name="リンク セル" xfId="133"/>
    <cellStyle name="入力" xfId="134"/>
    <cellStyle name="出力" xfId="135"/>
    <cellStyle name="悪い" xfId="136"/>
    <cellStyle name="良い" xfId="137"/>
    <cellStyle name="見出し 1" xfId="138"/>
    <cellStyle name="見出し 2" xfId="139"/>
    <cellStyle name="見出し 3" xfId="140"/>
    <cellStyle name="見出し 4" xfId="141"/>
    <cellStyle name="計算" xfId="142"/>
    <cellStyle name="説明文" xfId="143"/>
    <cellStyle name="警告文" xfId="144"/>
    <cellStyle name="集計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125"/>
          <c:w val="0.97225"/>
          <c:h val="0.97375"/>
        </c:manualLayout>
      </c:layout>
      <c:scatterChart>
        <c:scatterStyle val="smoothMarker"/>
        <c:varyColors val="0"/>
        <c:ser>
          <c:idx val="0"/>
          <c:order val="0"/>
          <c:tx>
            <c:v>Dummy Hor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'Calcs-1'!$N$17:$N$18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'Calcs-1'!$O$17:$O$18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Dummy Vert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'Calcs-1'!$N$19:$N$20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'Calcs-1'!$O$19:$O$20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'Calcs-1'!$H$16</c:f>
              <c:strCache>
                <c:ptCount val="1"/>
                <c:pt idx="0">
                  <c:v>Leech Length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'Calcs-1'!$J$16:$J$17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'Calcs-1'!$K$16:$K$17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'Calcs-1'!$H$18</c:f>
              <c:strCache>
                <c:ptCount val="1"/>
                <c:pt idx="0">
                  <c:v>Luff Length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'Calcs-1'!$J$18:$J$19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'Calcs-1'!$K$18:$K$19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'Calcs-1'!$H$20</c:f>
              <c:strCache>
                <c:ptCount val="1"/>
                <c:pt idx="0">
                  <c:v>Foot Length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'Calcs-1'!$J$20:$J$21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'Calcs-1'!$K$20:$K$21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'Calcs-1'!$H$22</c:f>
              <c:strCache>
                <c:ptCount val="1"/>
                <c:pt idx="0">
                  <c:v>SHW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'Calcs-1'!$J$22:$J$23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'Calcs-1'!$K$22:$K$23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6"/>
          <c:tx>
            <c:v>LuffTickTop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'Calcs-1'!$J$58:$J$59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'Calcs-1'!$K$58:$K$59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7"/>
          <c:tx>
            <c:v>LuffTickBot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'Calcs-1'!$J$60:$J$61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'Calcs-1'!$K$60:$K$61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8"/>
          <c:tx>
            <c:v>LeechTopTick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'Calcs-1'!$J$65:$J$66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'Calcs-1'!$K$65:$K$66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9"/>
          <c:tx>
            <c:v>LeechTickBot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'Calcs-1'!$J$67:$J$68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'Calcs-1'!$K$67:$K$68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0"/>
          <c:tx>
            <c:strRef>
              <c:f>'Calcs-1'!$H$45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'Calcs-1'!$J$45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'Calcs-1'!$K$45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3"/>
          <c:order val="11"/>
          <c:tx>
            <c:strRef>
              <c:f>'Calcs-1'!$H$46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'Calcs-1'!$J$46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'Calcs-1'!$K$46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4"/>
          <c:order val="12"/>
          <c:tx>
            <c:strRef>
              <c:f>'Calcs-1'!$H$49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'Calcs-1'!$J$49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'Calcs-1'!$K$49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5"/>
          <c:order val="13"/>
          <c:tx>
            <c:v>FootTickLeft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'Calcs-1'!$J$72:$J$73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'Calcs-1'!$K$72:$K$73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6"/>
          <c:order val="14"/>
          <c:tx>
            <c:v>FootTickRight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'Calcs-1'!$J$74:$J$75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'Calcs-1'!$K$74:$K$75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7"/>
          <c:order val="15"/>
          <c:tx>
            <c:strRef>
              <c:f>'Calcs-1'!$H$53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'Calcs-1'!$J$53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'Calcs-1'!$K$53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8"/>
          <c:order val="16"/>
          <c:tx>
            <c:strRef>
              <c:f>'Calcs-1'!$H$51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'Calcs-1'!$J$51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'Calcs-1'!$K$51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9"/>
          <c:order val="17"/>
          <c:tx>
            <c:v>LuffLeechFoot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'Calcs-1'!$J$4:$J$14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'Calcs-1'!$K$4:$K$14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6495517"/>
        <c:axId val="60024198"/>
      </c:scatterChart>
      <c:valAx>
        <c:axId val="36495517"/>
        <c:scaling>
          <c:orientation val="maxMin"/>
        </c:scaling>
        <c:axPos val="b"/>
        <c:delete val="1"/>
        <c:majorTickMark val="out"/>
        <c:minorTickMark val="none"/>
        <c:tickLblPos val="nextTo"/>
        <c:crossAx val="60024198"/>
        <c:crosses val="autoZero"/>
        <c:crossBetween val="midCat"/>
        <c:dispUnits/>
        <c:majorUnit val="0.5"/>
      </c:valAx>
      <c:valAx>
        <c:axId val="60024198"/>
        <c:scaling>
          <c:orientation val="minMax"/>
        </c:scaling>
        <c:axPos val="r"/>
        <c:delete val="1"/>
        <c:majorTickMark val="out"/>
        <c:minorTickMark val="none"/>
        <c:tickLblPos val="nextTo"/>
        <c:crossAx val="36495517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15</xdr:row>
      <xdr:rowOff>180975</xdr:rowOff>
    </xdr:from>
    <xdr:to>
      <xdr:col>14</xdr:col>
      <xdr:colOff>47625</xdr:colOff>
      <xdr:row>60</xdr:row>
      <xdr:rowOff>142875</xdr:rowOff>
    </xdr:to>
    <xdr:graphicFrame>
      <xdr:nvGraphicFramePr>
        <xdr:cNvPr id="1" name="Chart 30"/>
        <xdr:cNvGraphicFramePr/>
      </xdr:nvGraphicFramePr>
      <xdr:xfrm>
        <a:off x="352425" y="3181350"/>
        <a:ext cx="7191375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9525</xdr:rowOff>
    </xdr:from>
    <xdr:to>
      <xdr:col>14</xdr:col>
      <xdr:colOff>0</xdr:colOff>
      <xdr:row>1</xdr:row>
      <xdr:rowOff>228600</xdr:rowOff>
    </xdr:to>
    <xdr:grpSp>
      <xdr:nvGrpSpPr>
        <xdr:cNvPr id="2" name="Group 2"/>
        <xdr:cNvGrpSpPr>
          <a:grpSpLocks/>
        </xdr:cNvGrpSpPr>
      </xdr:nvGrpSpPr>
      <xdr:grpSpPr>
        <a:xfrm>
          <a:off x="619125" y="9525"/>
          <a:ext cx="6877050" cy="457200"/>
          <a:chOff x="619125" y="9525"/>
          <a:chExt cx="6877050" cy="457200"/>
        </a:xfrm>
        <a:solidFill>
          <a:srgbClr val="FFFFFF"/>
        </a:solidFill>
      </xdr:grpSpPr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9125" y="9525"/>
            <a:ext cx="457324" cy="4572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38851" y="9525"/>
            <a:ext cx="457324" cy="4572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offshore@ussailing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1"/>
  <sheetViews>
    <sheetView showGridLines="0" tabSelected="1" zoomScalePageLayoutView="0" workbookViewId="0" topLeftCell="A1">
      <selection activeCell="E5" sqref="E5:G5"/>
    </sheetView>
  </sheetViews>
  <sheetFormatPr defaultColWidth="9.140625" defaultRowHeight="12"/>
  <cols>
    <col min="1" max="1" width="9.140625" style="26" customWidth="1"/>
    <col min="2" max="2" width="1.421875" style="26" customWidth="1"/>
    <col min="3" max="3" width="7.140625" style="26" customWidth="1"/>
    <col min="4" max="4" width="9.00390625" style="26" customWidth="1"/>
    <col min="5" max="7" width="8.57421875" style="26" customWidth="1"/>
    <col min="8" max="8" width="3.00390625" style="26" customWidth="1"/>
    <col min="9" max="9" width="24.7109375" style="26" customWidth="1"/>
    <col min="10" max="10" width="6.28125" style="26" customWidth="1"/>
    <col min="11" max="12" width="11.421875" style="26" customWidth="1"/>
    <col min="13" max="13" width="1.7109375" style="26" customWidth="1"/>
    <col min="14" max="14" width="1.421875" style="26" customWidth="1"/>
    <col min="15" max="15" width="4.57421875" style="48" customWidth="1"/>
    <col min="16" max="16" width="4.7109375" style="48" customWidth="1"/>
    <col min="17" max="17" width="1.421875" style="26" customWidth="1"/>
    <col min="18" max="19" width="7.57421875" style="50" hidden="1" customWidth="1"/>
    <col min="20" max="20" width="3.57421875" style="26" customWidth="1"/>
    <col min="21" max="21" width="11.8515625" style="26" customWidth="1"/>
    <col min="22" max="22" width="13.00390625" style="27" customWidth="1"/>
    <col min="23" max="24" width="11.8515625" style="27" customWidth="1"/>
    <col min="25" max="25" width="16.7109375" style="27" customWidth="1"/>
    <col min="26" max="33" width="11.8515625" style="27" customWidth="1"/>
    <col min="34" max="34" width="11.8515625" style="26" customWidth="1"/>
    <col min="35" max="35" width="9.28125" style="26" customWidth="1"/>
    <col min="36" max="36" width="19.140625" style="26" customWidth="1"/>
    <col min="37" max="16384" width="9.140625" style="26" customWidth="1"/>
  </cols>
  <sheetData>
    <row r="1" spans="2:26" ht="18.75" customHeight="1">
      <c r="B1" s="55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56"/>
      <c r="O1" s="28"/>
      <c r="P1" s="28"/>
      <c r="S1" s="30">
        <v>1</v>
      </c>
      <c r="U1" s="31"/>
      <c r="Z1" s="31"/>
    </row>
    <row r="2" spans="2:33" ht="18.75" customHeight="1">
      <c r="B2" s="57"/>
      <c r="C2" s="170" t="s">
        <v>97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58"/>
      <c r="O2" s="32"/>
      <c r="P2" s="32"/>
      <c r="W2" s="33"/>
      <c r="AG2" s="34"/>
    </row>
    <row r="3" spans="2:33" ht="18.75" customHeight="1">
      <c r="B3" s="57"/>
      <c r="C3" s="167" t="s">
        <v>101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58"/>
      <c r="O3" s="32"/>
      <c r="P3" s="32"/>
      <c r="W3" s="33"/>
      <c r="AG3" s="34"/>
    </row>
    <row r="4" spans="2:42" ht="15" customHeight="1">
      <c r="B4" s="57"/>
      <c r="C4" s="136"/>
      <c r="D4" s="136"/>
      <c r="E4" s="136"/>
      <c r="F4" s="136"/>
      <c r="G4" s="136"/>
      <c r="H4" s="137"/>
      <c r="I4" s="136"/>
      <c r="J4" s="136"/>
      <c r="K4" s="138" t="str">
        <f>IF($S$1=1,"Meters","Feet")</f>
        <v>Meters</v>
      </c>
      <c r="L4" s="138" t="str">
        <f>IF($S$1=2,"Meters","Feet")</f>
        <v>Feet</v>
      </c>
      <c r="M4" s="20"/>
      <c r="N4" s="59"/>
      <c r="O4" s="172"/>
      <c r="P4" s="173"/>
      <c r="U4" s="123" t="s">
        <v>83</v>
      </c>
      <c r="V4" s="132"/>
      <c r="W4" s="132"/>
      <c r="X4" s="132"/>
      <c r="Y4" s="132"/>
      <c r="Z4" s="25"/>
      <c r="AA4" s="25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41"/>
    </row>
    <row r="5" spans="2:42" ht="15" customHeight="1" thickBot="1">
      <c r="B5" s="60"/>
      <c r="C5" s="149" t="s">
        <v>46</v>
      </c>
      <c r="D5" s="149"/>
      <c r="E5" s="165"/>
      <c r="F5" s="166"/>
      <c r="G5" s="166"/>
      <c r="H5" s="137"/>
      <c r="I5" s="139" t="s">
        <v>77</v>
      </c>
      <c r="J5" s="148" t="s">
        <v>99</v>
      </c>
      <c r="K5" s="140"/>
      <c r="L5" s="141">
        <f>IF(K5&gt;0,IF($S$1=1,K5/0.3048,K5*0.3048),"")</f>
      </c>
      <c r="M5" s="36"/>
      <c r="N5" s="59"/>
      <c r="O5" s="172"/>
      <c r="P5" s="173"/>
      <c r="R5" s="29">
        <f>ROUND(K5,2)</f>
        <v>0</v>
      </c>
      <c r="S5" s="29" t="e">
        <f>ROUND(L5,2)</f>
        <v>#VALUE!</v>
      </c>
      <c r="U5" s="124"/>
      <c r="V5" s="18"/>
      <c r="W5" s="18"/>
      <c r="X5" s="18"/>
      <c r="Y5" s="18"/>
      <c r="Z5" s="39"/>
      <c r="AA5" s="121"/>
      <c r="AB5" s="38"/>
      <c r="AC5" s="38"/>
      <c r="AD5" s="38"/>
      <c r="AE5" s="38"/>
      <c r="AF5" s="38"/>
      <c r="AG5" s="38"/>
      <c r="AH5" s="38"/>
      <c r="AI5" s="38"/>
      <c r="AJ5" s="38"/>
      <c r="AK5" s="51"/>
      <c r="AL5" s="51"/>
      <c r="AM5" s="51"/>
      <c r="AN5" s="51"/>
      <c r="AO5" s="51"/>
      <c r="AP5" s="41"/>
    </row>
    <row r="6" spans="2:42" s="39" customFormat="1" ht="15" customHeight="1" thickBot="1">
      <c r="B6" s="61"/>
      <c r="C6" s="149" t="s">
        <v>47</v>
      </c>
      <c r="D6" s="149"/>
      <c r="E6" s="165"/>
      <c r="F6" s="166"/>
      <c r="G6" s="166"/>
      <c r="H6" s="18"/>
      <c r="I6" s="139" t="s">
        <v>76</v>
      </c>
      <c r="J6" s="148" t="s">
        <v>0</v>
      </c>
      <c r="K6" s="140"/>
      <c r="L6" s="141">
        <f>IF(K6&gt;0,IF($S$1=1,K6/0.3048,K6*0.3048),"")</f>
      </c>
      <c r="N6" s="62"/>
      <c r="O6" s="171"/>
      <c r="P6" s="171"/>
      <c r="Q6" s="26"/>
      <c r="R6" s="29">
        <f>SLU_1</f>
        <v>0</v>
      </c>
      <c r="S6" s="29" t="e">
        <f>SLU_1a</f>
        <v>#VALUE!</v>
      </c>
      <c r="U6" s="168" t="s">
        <v>94</v>
      </c>
      <c r="V6" s="154"/>
      <c r="W6" s="154"/>
      <c r="X6" s="154"/>
      <c r="Y6" s="154"/>
      <c r="Z6" s="129"/>
      <c r="AA6" s="122"/>
      <c r="AB6" s="25"/>
      <c r="AC6" s="25"/>
      <c r="AD6" s="25"/>
      <c r="AE6" s="25"/>
      <c r="AF6" s="25"/>
      <c r="AG6" s="25"/>
      <c r="AH6" s="25"/>
      <c r="AI6" s="25"/>
      <c r="AJ6" s="25"/>
      <c r="AK6" s="52"/>
      <c r="AL6" s="52"/>
      <c r="AM6" s="52"/>
      <c r="AN6" s="52"/>
      <c r="AO6" s="52"/>
      <c r="AP6" s="53"/>
    </row>
    <row r="7" spans="2:37" ht="15" customHeight="1" thickBot="1">
      <c r="B7" s="63"/>
      <c r="C7" s="149" t="s">
        <v>48</v>
      </c>
      <c r="D7" s="149"/>
      <c r="E7" s="165"/>
      <c r="F7" s="166"/>
      <c r="G7" s="166"/>
      <c r="H7" s="136"/>
      <c r="I7" s="139" t="s">
        <v>3</v>
      </c>
      <c r="J7" s="148" t="s">
        <v>4</v>
      </c>
      <c r="K7" s="140"/>
      <c r="L7" s="141">
        <f>IF(K7&gt;0,IF($S$1=1,K7/0.3048,K7*0.3048),"")</f>
      </c>
      <c r="M7" s="41"/>
      <c r="N7" s="64"/>
      <c r="O7" s="36"/>
      <c r="P7" s="36"/>
      <c r="R7" s="29">
        <f aca="true" t="shared" si="0" ref="R7:S9">ROUND(K7,2)</f>
        <v>0</v>
      </c>
      <c r="S7" s="29" t="e">
        <f t="shared" si="0"/>
        <v>#VALUE!</v>
      </c>
      <c r="U7" s="153"/>
      <c r="V7" s="153"/>
      <c r="W7" s="153"/>
      <c r="X7" s="153"/>
      <c r="Y7" s="153"/>
      <c r="Z7" s="129"/>
      <c r="AA7" s="122"/>
      <c r="AB7" s="119"/>
      <c r="AC7" s="43"/>
      <c r="AD7" s="43"/>
      <c r="AE7" s="2"/>
      <c r="AF7" s="43"/>
      <c r="AG7" s="43"/>
      <c r="AH7" s="43"/>
      <c r="AI7" s="1"/>
      <c r="AJ7" s="43"/>
      <c r="AK7" s="54" t="e">
        <f>#REF!+1</f>
        <v>#REF!</v>
      </c>
    </row>
    <row r="8" spans="2:37" ht="15" customHeight="1" thickBot="1">
      <c r="B8" s="63"/>
      <c r="C8" s="149" t="s">
        <v>49</v>
      </c>
      <c r="D8" s="149"/>
      <c r="E8" s="165"/>
      <c r="F8" s="166"/>
      <c r="G8" s="166"/>
      <c r="H8" s="136"/>
      <c r="I8" s="142" t="s">
        <v>81</v>
      </c>
      <c r="J8" s="148" t="s">
        <v>100</v>
      </c>
      <c r="K8" s="140"/>
      <c r="L8" s="141">
        <f>IF(K8&gt;0,IF($S$1=1,K8/0.3048,K8*0.3048),"")</f>
      </c>
      <c r="M8" s="41"/>
      <c r="N8" s="64"/>
      <c r="O8" s="36"/>
      <c r="P8" s="36"/>
      <c r="R8" s="29">
        <f t="shared" si="0"/>
        <v>0</v>
      </c>
      <c r="S8" s="29" t="e">
        <f t="shared" si="0"/>
        <v>#VALUE!</v>
      </c>
      <c r="U8" s="18"/>
      <c r="V8" s="18"/>
      <c r="W8" s="18"/>
      <c r="X8" s="18"/>
      <c r="Y8" s="18"/>
      <c r="Z8" s="129"/>
      <c r="AA8" s="122"/>
      <c r="AB8" s="26"/>
      <c r="AC8" s="43"/>
      <c r="AD8" s="43"/>
      <c r="AE8" s="2"/>
      <c r="AF8" s="43"/>
      <c r="AG8" s="43"/>
      <c r="AH8" s="43"/>
      <c r="AI8" s="1"/>
      <c r="AJ8" s="43"/>
      <c r="AK8" s="54" t="e">
        <f>AK7+1</f>
        <v>#REF!</v>
      </c>
    </row>
    <row r="9" spans="2:37" ht="15" customHeight="1" thickBot="1">
      <c r="B9" s="65"/>
      <c r="C9" s="149" t="s">
        <v>50</v>
      </c>
      <c r="D9" s="149"/>
      <c r="E9" s="165"/>
      <c r="F9" s="166"/>
      <c r="G9" s="166"/>
      <c r="H9" s="143"/>
      <c r="I9" s="142" t="s">
        <v>1</v>
      </c>
      <c r="J9" s="148" t="s">
        <v>2</v>
      </c>
      <c r="K9" s="140"/>
      <c r="L9" s="141">
        <f>IF(K9&gt;0,IF($S$1=1,K9/0.3048,K9*0.3048),"")</f>
      </c>
      <c r="M9" s="41"/>
      <c r="N9" s="64"/>
      <c r="O9" s="36"/>
      <c r="P9" s="36"/>
      <c r="R9" s="29">
        <f t="shared" si="0"/>
        <v>0</v>
      </c>
      <c r="S9" s="29" t="e">
        <f t="shared" si="0"/>
        <v>#VALUE!</v>
      </c>
      <c r="U9" s="152" t="s">
        <v>95</v>
      </c>
      <c r="V9" s="153"/>
      <c r="W9" s="153"/>
      <c r="X9" s="153"/>
      <c r="Y9" s="153"/>
      <c r="Z9" s="129"/>
      <c r="AA9" s="122"/>
      <c r="AB9" s="26"/>
      <c r="AC9" s="2"/>
      <c r="AD9" s="42"/>
      <c r="AE9" s="2"/>
      <c r="AF9" s="2"/>
      <c r="AG9" s="2"/>
      <c r="AH9" s="1"/>
      <c r="AI9" s="1"/>
      <c r="AJ9" s="2"/>
      <c r="AK9" s="54" t="e">
        <f>AK8+1</f>
        <v>#REF!</v>
      </c>
    </row>
    <row r="10" spans="2:37" ht="15" customHeight="1" thickBot="1">
      <c r="B10" s="66"/>
      <c r="C10" s="149" t="s">
        <v>51</v>
      </c>
      <c r="D10" s="149"/>
      <c r="E10" s="165"/>
      <c r="F10" s="166"/>
      <c r="G10" s="166"/>
      <c r="H10" s="143"/>
      <c r="I10" s="142" t="s">
        <v>43</v>
      </c>
      <c r="J10" s="144" t="s">
        <v>44</v>
      </c>
      <c r="K10" s="141">
        <f>IF(AND(SLU_1&gt;0,SMW_1&gt;0,SF_1&gt;0),SLU_1*(0.5*SF_1+2*SMW_1)/3,"")</f>
      </c>
      <c r="L10" s="141">
        <f>IF(AND(SLU_1&gt;0,SMW_1&gt;0,SF_1&gt;0),SLU_1a*(0.5*SF_1a+2*SMW_1a)/3,"")</f>
      </c>
      <c r="M10" s="41"/>
      <c r="N10" s="64"/>
      <c r="O10" s="36"/>
      <c r="P10" s="36"/>
      <c r="R10" s="48"/>
      <c r="S10" s="48"/>
      <c r="U10" s="153"/>
      <c r="V10" s="153"/>
      <c r="W10" s="153"/>
      <c r="X10" s="153"/>
      <c r="Y10" s="153"/>
      <c r="Z10" s="130"/>
      <c r="AA10" s="120"/>
      <c r="AB10" s="43"/>
      <c r="AC10" s="43"/>
      <c r="AD10" s="43"/>
      <c r="AE10" s="2"/>
      <c r="AF10" s="43"/>
      <c r="AG10" s="43"/>
      <c r="AH10" s="43"/>
      <c r="AI10" s="1"/>
      <c r="AJ10" s="43"/>
      <c r="AK10" s="54" t="e">
        <f>AK9+1</f>
        <v>#REF!</v>
      </c>
    </row>
    <row r="11" spans="2:37" ht="15" customHeight="1">
      <c r="B11" s="66"/>
      <c r="C11" s="150" t="s">
        <v>98</v>
      </c>
      <c r="D11" s="151"/>
      <c r="E11" s="151"/>
      <c r="F11" s="147"/>
      <c r="G11" s="176" t="s">
        <v>27</v>
      </c>
      <c r="H11" s="44"/>
      <c r="I11" s="142"/>
      <c r="J11" s="144" t="s">
        <v>45</v>
      </c>
      <c r="K11" s="141">
        <f>IF(AND(SLU_1&gt;0,SLE_1&gt;0,SMG_1&gt;0,SF_1&gt;0),((SLU_1+SLE_1)/2)*((SF_1+(4*SMG_1))/5)*0.83,"")</f>
      </c>
      <c r="L11" s="141">
        <f>IF(AND(SLU_1&gt;0,SLE_1&gt;0,SMG_1&gt;0,SF_1&gt;0),((SLU_1a+SLE_1a)/2)*((SF_1a+(4*SMG_1a))/5)*0.83,"")</f>
      </c>
      <c r="M11" s="41"/>
      <c r="N11" s="64"/>
      <c r="O11" s="36"/>
      <c r="P11" s="36"/>
      <c r="U11" s="133"/>
      <c r="V11" s="133"/>
      <c r="W11" s="133"/>
      <c r="X11" s="133"/>
      <c r="Y11" s="133"/>
      <c r="Z11" s="131"/>
      <c r="AA11" s="43"/>
      <c r="AB11" s="43"/>
      <c r="AC11" s="43"/>
      <c r="AD11" s="43"/>
      <c r="AE11" s="2"/>
      <c r="AF11" s="43"/>
      <c r="AG11" s="43"/>
      <c r="AH11" s="43"/>
      <c r="AI11" s="1"/>
      <c r="AJ11" s="43"/>
      <c r="AK11" s="54" t="e">
        <f>AK10+1</f>
        <v>#REF!</v>
      </c>
    </row>
    <row r="12" spans="2:36" ht="15" customHeight="1">
      <c r="B12" s="66"/>
      <c r="C12" s="151"/>
      <c r="D12" s="151"/>
      <c r="E12" s="151"/>
      <c r="F12" s="147"/>
      <c r="G12" s="177"/>
      <c r="H12" s="35"/>
      <c r="I12" s="145"/>
      <c r="J12" s="146" t="s">
        <v>102</v>
      </c>
      <c r="K12" s="141">
        <f>IF(AND(SLU_1&gt;0,SMG_1&gt;0,SF_1&gt;0),SLU_1*(SF_1+4*SMG_1)/6,"")</f>
      </c>
      <c r="L12" s="141">
        <f>IF(AND(SLU_1&gt;0,SMG_1&gt;0,SF_1&gt;0),SLU_1a*(SF_1a+4*SMG_1a)/6,"")</f>
      </c>
      <c r="M12" s="41"/>
      <c r="N12" s="64"/>
      <c r="O12" s="36"/>
      <c r="P12" s="36"/>
      <c r="R12" s="48"/>
      <c r="S12" s="48"/>
      <c r="U12" s="154" t="s">
        <v>96</v>
      </c>
      <c r="V12" s="154"/>
      <c r="W12" s="154"/>
      <c r="X12" s="154"/>
      <c r="Y12" s="154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2:36" ht="15" customHeight="1" thickBot="1">
      <c r="B13" s="66"/>
      <c r="C13" s="149" t="s">
        <v>90</v>
      </c>
      <c r="D13" s="149"/>
      <c r="E13" s="174"/>
      <c r="F13" s="175"/>
      <c r="G13" s="175"/>
      <c r="H13" s="35"/>
      <c r="I13" s="35"/>
      <c r="J13" s="40"/>
      <c r="K13" s="40"/>
      <c r="L13" s="128" t="s">
        <v>52</v>
      </c>
      <c r="M13" s="41"/>
      <c r="N13" s="64"/>
      <c r="O13" s="36"/>
      <c r="P13" s="36"/>
      <c r="R13" s="48"/>
      <c r="S13" s="48"/>
      <c r="U13" s="154"/>
      <c r="V13" s="154"/>
      <c r="W13" s="154"/>
      <c r="X13" s="154"/>
      <c r="Y13" s="154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2:36" ht="15" customHeight="1" thickBot="1">
      <c r="B14" s="66"/>
      <c r="C14" s="149" t="s">
        <v>91</v>
      </c>
      <c r="D14" s="149"/>
      <c r="E14" s="174"/>
      <c r="F14" s="175"/>
      <c r="G14" s="175"/>
      <c r="H14" s="40"/>
      <c r="I14" s="40"/>
      <c r="J14" s="35"/>
      <c r="K14" s="40"/>
      <c r="L14" s="40"/>
      <c r="M14" s="41"/>
      <c r="N14" s="64"/>
      <c r="O14" s="36"/>
      <c r="P14" s="36"/>
      <c r="R14" s="48"/>
      <c r="S14" s="48"/>
      <c r="U14" s="127"/>
      <c r="V14" s="127"/>
      <c r="W14" s="127"/>
      <c r="X14" s="127"/>
      <c r="Y14" s="127"/>
      <c r="Z14" s="46"/>
      <c r="AA14" s="46"/>
      <c r="AB14" s="46"/>
      <c r="AC14" s="46"/>
      <c r="AD14" s="47"/>
      <c r="AE14" s="46"/>
      <c r="AF14" s="47"/>
      <c r="AG14" s="46"/>
      <c r="AH14" s="47"/>
      <c r="AI14" s="46"/>
      <c r="AJ14" s="46"/>
    </row>
    <row r="15" spans="2:25" ht="15" customHeight="1" thickBot="1">
      <c r="B15" s="66"/>
      <c r="C15" s="149" t="s">
        <v>92</v>
      </c>
      <c r="D15" s="149"/>
      <c r="E15" s="174"/>
      <c r="F15" s="175"/>
      <c r="G15" s="175"/>
      <c r="H15" s="40"/>
      <c r="I15" s="40"/>
      <c r="J15" s="40"/>
      <c r="K15" s="35"/>
      <c r="L15" s="35"/>
      <c r="M15" s="41"/>
      <c r="N15" s="64"/>
      <c r="O15" s="36"/>
      <c r="P15" s="36"/>
      <c r="R15" s="48"/>
      <c r="S15" s="48"/>
      <c r="U15" s="155" t="s">
        <v>84</v>
      </c>
      <c r="V15" s="156"/>
      <c r="W15" s="156"/>
      <c r="X15" s="156"/>
      <c r="Y15" s="156"/>
    </row>
    <row r="16" spans="2:36" ht="15" customHeight="1" thickBot="1">
      <c r="B16" s="65"/>
      <c r="C16" s="149" t="s">
        <v>93</v>
      </c>
      <c r="D16" s="149"/>
      <c r="E16" s="174"/>
      <c r="F16" s="175"/>
      <c r="G16" s="175"/>
      <c r="H16" s="35"/>
      <c r="I16" s="35"/>
      <c r="J16" s="35"/>
      <c r="K16" s="35"/>
      <c r="L16" s="35"/>
      <c r="M16" s="36"/>
      <c r="N16" s="59"/>
      <c r="O16" s="36"/>
      <c r="P16" s="36"/>
      <c r="R16" s="48"/>
      <c r="S16" s="48"/>
      <c r="U16" s="127"/>
      <c r="V16" s="127"/>
      <c r="W16" s="127"/>
      <c r="X16" s="127"/>
      <c r="Y16" s="127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2:25" ht="1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U17" s="125" t="s">
        <v>85</v>
      </c>
      <c r="V17" s="134"/>
      <c r="W17" s="126" t="s">
        <v>86</v>
      </c>
      <c r="X17" s="134"/>
      <c r="Y17" s="134"/>
    </row>
    <row r="18" spans="2:25" ht="15" customHeight="1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49"/>
      <c r="P18" s="49"/>
      <c r="U18" s="135"/>
      <c r="V18" s="135"/>
      <c r="W18" s="135"/>
      <c r="X18" s="135"/>
      <c r="Y18" s="135"/>
    </row>
    <row r="19" spans="2:25" ht="15" customHeight="1">
      <c r="B19" s="6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64"/>
      <c r="U19" s="124" t="s">
        <v>87</v>
      </c>
      <c r="V19" s="135"/>
      <c r="W19" s="135"/>
      <c r="X19" s="135"/>
      <c r="Y19" s="135"/>
    </row>
    <row r="20" spans="2:25" ht="15" customHeight="1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U20" s="127"/>
      <c r="V20" s="127"/>
      <c r="W20" s="127"/>
      <c r="X20" s="127"/>
      <c r="Y20" s="127"/>
    </row>
    <row r="21" spans="2:25" ht="15" customHeight="1">
      <c r="B21" s="63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64"/>
      <c r="U21" s="157" t="s">
        <v>88</v>
      </c>
      <c r="V21" s="153"/>
      <c r="W21" s="153"/>
      <c r="X21" s="153"/>
      <c r="Y21" s="153"/>
    </row>
    <row r="22" spans="2:25" ht="1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  <c r="U22" s="153"/>
      <c r="V22" s="153"/>
      <c r="W22" s="153"/>
      <c r="X22" s="153"/>
      <c r="Y22" s="153"/>
    </row>
    <row r="23" spans="2:25" ht="15" customHeight="1">
      <c r="B23" s="63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64"/>
      <c r="U23" s="135"/>
      <c r="V23" s="135"/>
      <c r="W23" s="135"/>
      <c r="X23" s="135"/>
      <c r="Y23" s="135"/>
    </row>
    <row r="24" spans="2:25" ht="15" customHeight="1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U24" s="158" t="s">
        <v>89</v>
      </c>
      <c r="V24" s="153"/>
      <c r="W24" s="153"/>
      <c r="X24" s="153"/>
      <c r="Y24" s="159"/>
    </row>
    <row r="25" spans="2:25" ht="15" customHeight="1">
      <c r="B25" s="63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64"/>
      <c r="U25" s="160"/>
      <c r="V25" s="161"/>
      <c r="W25" s="161"/>
      <c r="X25" s="161"/>
      <c r="Y25" s="159"/>
    </row>
    <row r="26" spans="2:25" ht="15" customHeight="1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  <c r="U26" s="162"/>
      <c r="V26" s="163"/>
      <c r="W26" s="163"/>
      <c r="X26" s="163"/>
      <c r="Y26" s="164"/>
    </row>
    <row r="27" spans="2:14" ht="15" customHeight="1">
      <c r="B27" s="63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64"/>
    </row>
    <row r="28" spans="2:14" ht="15" customHeight="1">
      <c r="B28" s="6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64"/>
    </row>
    <row r="29" spans="2:14" ht="15" customHeight="1">
      <c r="B29" s="63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64"/>
    </row>
    <row r="30" spans="2:14" ht="15" customHeight="1">
      <c r="B30" s="63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64"/>
    </row>
    <row r="31" spans="2:14" ht="12" customHeight="1">
      <c r="B31" s="6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64"/>
    </row>
    <row r="32" spans="2:14" ht="12" customHeight="1">
      <c r="B32" s="63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64"/>
    </row>
    <row r="33" spans="2:14" ht="12" customHeight="1">
      <c r="B33" s="6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64"/>
    </row>
    <row r="34" spans="2:14" ht="12" customHeight="1">
      <c r="B34" s="6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64"/>
    </row>
    <row r="35" spans="2:14" ht="12" customHeight="1">
      <c r="B35" s="6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64"/>
    </row>
    <row r="36" spans="2:14" ht="12" customHeight="1">
      <c r="B36" s="6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64"/>
    </row>
    <row r="37" spans="2:14" ht="12" customHeight="1">
      <c r="B37" s="6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64"/>
    </row>
    <row r="38" spans="2:14" ht="12" customHeight="1">
      <c r="B38" s="6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64"/>
    </row>
    <row r="39" spans="2:14" ht="12" customHeight="1">
      <c r="B39" s="63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64"/>
    </row>
    <row r="40" spans="2:14" ht="12" customHeight="1">
      <c r="B40" s="6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64"/>
    </row>
    <row r="41" spans="2:14" ht="12" customHeight="1">
      <c r="B41" s="6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64"/>
    </row>
    <row r="42" spans="2:14" ht="12" customHeight="1">
      <c r="B42" s="6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64"/>
    </row>
    <row r="43" spans="2:14" ht="12" customHeight="1">
      <c r="B43" s="6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64"/>
    </row>
    <row r="44" spans="2:14" ht="12" customHeight="1">
      <c r="B44" s="63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64"/>
    </row>
    <row r="45" spans="2:14" ht="12" customHeight="1">
      <c r="B45" s="63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64"/>
    </row>
    <row r="46" spans="2:14" ht="12" customHeight="1">
      <c r="B46" s="63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64"/>
    </row>
    <row r="47" spans="2:14" ht="12" customHeight="1">
      <c r="B47" s="63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64"/>
    </row>
    <row r="48" spans="2:14" ht="12" customHeight="1">
      <c r="B48" s="63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64"/>
    </row>
    <row r="49" spans="2:14" ht="12" customHeight="1">
      <c r="B49" s="63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64"/>
    </row>
    <row r="50" spans="2:14" ht="12" customHeight="1">
      <c r="B50" s="63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64"/>
    </row>
    <row r="51" spans="2:14" ht="12" customHeight="1">
      <c r="B51" s="63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64"/>
    </row>
    <row r="52" spans="2:14" ht="12" customHeight="1">
      <c r="B52" s="63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64"/>
    </row>
    <row r="53" spans="2:14" ht="12" customHeight="1">
      <c r="B53" s="63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64"/>
    </row>
    <row r="54" spans="2:14" ht="12" customHeight="1">
      <c r="B54" s="63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64"/>
    </row>
    <row r="55" spans="2:14" ht="12" customHeight="1">
      <c r="B55" s="63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64"/>
    </row>
    <row r="56" spans="2:14" ht="12" customHeight="1">
      <c r="B56" s="63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64"/>
    </row>
    <row r="57" spans="2:14" ht="12" customHeight="1">
      <c r="B57" s="6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64"/>
    </row>
    <row r="58" spans="2:14" ht="12" customHeight="1">
      <c r="B58" s="63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64"/>
    </row>
    <row r="59" spans="2:14" ht="12" customHeight="1">
      <c r="B59" s="63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64"/>
    </row>
    <row r="60" spans="2:14" ht="12" customHeight="1">
      <c r="B60" s="63"/>
      <c r="C60" s="41"/>
      <c r="D60" s="41"/>
      <c r="E60" s="19" t="s">
        <v>53</v>
      </c>
      <c r="F60" s="41"/>
      <c r="G60" s="41"/>
      <c r="H60" s="41"/>
      <c r="I60" s="41"/>
      <c r="J60" s="41"/>
      <c r="K60" s="41"/>
      <c r="L60" s="41"/>
      <c r="M60" s="41"/>
      <c r="N60" s="64"/>
    </row>
    <row r="61" spans="2:14" ht="12" customHeight="1"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2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</sheetData>
  <sheetProtection password="E89A" sheet="1" objects="1" scenarios="1" selectLockedCells="1"/>
  <mergeCells count="34">
    <mergeCell ref="E15:G15"/>
    <mergeCell ref="C13:D13"/>
    <mergeCell ref="C14:D14"/>
    <mergeCell ref="C15:D15"/>
    <mergeCell ref="C3:M3"/>
    <mergeCell ref="U6:Y7"/>
    <mergeCell ref="E9:G9"/>
    <mergeCell ref="E10:G10"/>
    <mergeCell ref="E5:G5"/>
    <mergeCell ref="C1:M1"/>
    <mergeCell ref="C2:M2"/>
    <mergeCell ref="O6:P6"/>
    <mergeCell ref="O5:P5"/>
    <mergeCell ref="O4:P4"/>
    <mergeCell ref="U9:Y10"/>
    <mergeCell ref="U12:Y13"/>
    <mergeCell ref="U15:Y15"/>
    <mergeCell ref="U21:Y22"/>
    <mergeCell ref="U24:Y26"/>
    <mergeCell ref="E7:G7"/>
    <mergeCell ref="E8:G8"/>
    <mergeCell ref="E16:G16"/>
    <mergeCell ref="G11:G12"/>
    <mergeCell ref="E13:G13"/>
    <mergeCell ref="C16:D16"/>
    <mergeCell ref="C11:E12"/>
    <mergeCell ref="C5:D5"/>
    <mergeCell ref="C6:D6"/>
    <mergeCell ref="C7:D7"/>
    <mergeCell ref="C8:D8"/>
    <mergeCell ref="C9:D9"/>
    <mergeCell ref="C10:D10"/>
    <mergeCell ref="E6:G6"/>
    <mergeCell ref="E14:G14"/>
  </mergeCells>
  <dataValidations count="1">
    <dataValidation type="decimal" allowBlank="1" showInputMessage="1" showErrorMessage="1" error="Enter numbers only." sqref="M16">
      <formula1>0</formula1>
      <formula2>10000</formula2>
    </dataValidation>
  </dataValidations>
  <hyperlinks>
    <hyperlink ref="W17" r:id="rId1" display=" offshore@ussailing.org"/>
  </hyperlinks>
  <printOptions horizontalCentered="1"/>
  <pageMargins left="0.5" right="0.5" top="0.5" bottom="0.5" header="0.5" footer="0.5"/>
  <pageSetup fitToHeight="1" fitToWidth="1" horizontalDpi="600" verticalDpi="600" orientation="portrait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PageLayoutView="0" workbookViewId="0" topLeftCell="A1">
      <selection activeCell="D5" sqref="D5"/>
    </sheetView>
  </sheetViews>
  <sheetFormatPr defaultColWidth="9.140625" defaultRowHeight="12"/>
  <cols>
    <col min="1" max="2" width="2.140625" style="80" customWidth="1"/>
    <col min="3" max="3" width="14.28125" style="80" customWidth="1"/>
    <col min="4" max="7" width="9.28125" style="80" customWidth="1"/>
    <col min="8" max="8" width="18.8515625" style="80" customWidth="1"/>
    <col min="9" max="9" width="14.7109375" style="80" customWidth="1"/>
    <col min="10" max="15" width="9.28125" style="80" customWidth="1"/>
    <col min="16" max="24" width="11.421875" style="80" customWidth="1"/>
    <col min="25" max="16384" width="9.140625" style="80" customWidth="1"/>
  </cols>
  <sheetData>
    <row r="1" spans="2:15" ht="12.75" customHeight="1">
      <c r="B1" s="81"/>
      <c r="C1" s="81"/>
      <c r="D1" s="81"/>
      <c r="E1" s="81"/>
      <c r="F1" s="81"/>
      <c r="H1" s="81"/>
      <c r="I1" s="81"/>
      <c r="J1" s="81"/>
      <c r="K1" s="81"/>
      <c r="L1" s="81"/>
      <c r="M1" s="81"/>
      <c r="N1" s="81"/>
      <c r="O1" s="81"/>
    </row>
    <row r="2" spans="1:15" ht="12.75" customHeight="1">
      <c r="A2" s="82"/>
      <c r="B2" s="83"/>
      <c r="C2" s="84" t="s">
        <v>42</v>
      </c>
      <c r="D2" s="85"/>
      <c r="E2" s="86"/>
      <c r="G2" s="87"/>
      <c r="H2" s="88" t="s">
        <v>40</v>
      </c>
      <c r="I2" s="85"/>
      <c r="J2" s="85"/>
      <c r="K2" s="85"/>
      <c r="L2" s="85"/>
      <c r="M2" s="85"/>
      <c r="N2" s="85"/>
      <c r="O2" s="86"/>
    </row>
    <row r="3" spans="1:15" ht="12.75" customHeight="1">
      <c r="A3" s="82"/>
      <c r="B3" s="89"/>
      <c r="E3" s="90"/>
      <c r="G3" s="87"/>
      <c r="H3" s="9"/>
      <c r="I3" s="3"/>
      <c r="J3" s="21" t="s">
        <v>9</v>
      </c>
      <c r="K3" s="21" t="s">
        <v>10</v>
      </c>
      <c r="L3" s="21"/>
      <c r="N3" s="21" t="s">
        <v>29</v>
      </c>
      <c r="O3" s="91"/>
    </row>
    <row r="4" spans="1:15" ht="12.75" customHeight="1">
      <c r="A4" s="82"/>
      <c r="B4" s="89"/>
      <c r="C4" s="178" t="s">
        <v>39</v>
      </c>
      <c r="D4" s="179"/>
      <c r="E4" s="90"/>
      <c r="G4" s="87"/>
      <c r="H4" s="10" t="s">
        <v>36</v>
      </c>
      <c r="I4" s="21" t="s">
        <v>11</v>
      </c>
      <c r="J4" s="8">
        <f>SF_s</f>
        <v>0</v>
      </c>
      <c r="K4" s="22">
        <f>IF(AND(SLU_1&gt;0,SF_1&gt;0),IF(OR(SMG_1&gt;0,SMW_1&gt;0),0,0),0)</f>
        <v>0</v>
      </c>
      <c r="L4" s="21"/>
      <c r="N4" s="21" t="s">
        <v>9</v>
      </c>
      <c r="O4" s="5" t="s">
        <v>10</v>
      </c>
    </row>
    <row r="5" spans="1:15" ht="12.75" customHeight="1">
      <c r="A5" s="82"/>
      <c r="B5" s="89"/>
      <c r="C5" s="17" t="s">
        <v>24</v>
      </c>
      <c r="D5" s="118">
        <f>IF(AND(SLU_1&gt;0,SF_1&gt;0),IF(OR(SMG_1&gt;0,SMW_1&gt;0),SLU_1,0),0)</f>
        <v>0</v>
      </c>
      <c r="E5" s="92"/>
      <c r="G5" s="87"/>
      <c r="H5" s="10" t="s">
        <v>37</v>
      </c>
      <c r="I5" s="21" t="s">
        <v>35</v>
      </c>
      <c r="J5" s="8">
        <f>0.5*SF_s+0.5*SHW_s</f>
        <v>0</v>
      </c>
      <c r="K5" s="22" t="e">
        <f>SHW_s_y</f>
        <v>#DIV/0!</v>
      </c>
      <c r="L5" s="21"/>
      <c r="M5" s="21" t="s">
        <v>15</v>
      </c>
      <c r="N5" s="22">
        <f>MAX(J4:J23)</f>
        <v>0</v>
      </c>
      <c r="O5" s="6" t="e">
        <f>MAX(K4:K23)</f>
        <v>#DIV/0!</v>
      </c>
    </row>
    <row r="6" spans="1:15" ht="12.75" customHeight="1">
      <c r="A6" s="82"/>
      <c r="B6" s="89"/>
      <c r="C6" s="17" t="s">
        <v>0</v>
      </c>
      <c r="D6" s="118">
        <f>IF(AND(SLU_1&gt;0,SF_1&gt;0),IF(OR(SMG_1&gt;0,SMW_1&gt;0),SLE_1,0),0)</f>
        <v>0</v>
      </c>
      <c r="E6" s="92"/>
      <c r="G6" s="87"/>
      <c r="H6" s="9"/>
      <c r="I6" s="3"/>
      <c r="J6" s="45">
        <f>0.3*(Head_x-SLU_Half_Luff_x)+SLU_Half_Luff_x</f>
        <v>0</v>
      </c>
      <c r="K6" s="22" t="e">
        <f>0.6*(Head_y-SLU_Half_Luff_y)+SLU_Half_Luff_y</f>
        <v>#DIV/0!</v>
      </c>
      <c r="L6" s="21"/>
      <c r="M6" s="21" t="s">
        <v>16</v>
      </c>
      <c r="N6" s="22">
        <f>MIN(J4:J23)</f>
        <v>0</v>
      </c>
      <c r="O6" s="6" t="e">
        <f>MIN(K4:K23)</f>
        <v>#DIV/0!</v>
      </c>
    </row>
    <row r="7" spans="1:15" ht="12.75" customHeight="1">
      <c r="A7" s="82"/>
      <c r="B7" s="89"/>
      <c r="C7" s="17" t="s">
        <v>2</v>
      </c>
      <c r="D7" s="118">
        <f>IF(AND(SLU_1&gt;0,SF_1&gt;0),IF(OR(SMG_1&gt;0,SMW_1&gt;0),SMW_1,0),0)</f>
        <v>0</v>
      </c>
      <c r="E7" s="92"/>
      <c r="G7" s="87"/>
      <c r="H7" s="77" t="s">
        <v>12</v>
      </c>
      <c r="I7" s="79" t="s">
        <v>12</v>
      </c>
      <c r="J7" s="22">
        <f>0.5*SF_s</f>
        <v>0</v>
      </c>
      <c r="K7" s="22">
        <f>SCL_s</f>
        <v>0</v>
      </c>
      <c r="L7" s="21"/>
      <c r="M7" s="21" t="s">
        <v>30</v>
      </c>
      <c r="N7" s="22">
        <f>SS_data_maxx-SS_data_minx</f>
        <v>0</v>
      </c>
      <c r="O7" s="6" t="e">
        <f>SS_data_maxy-SS_data_miny</f>
        <v>#DIV/0!</v>
      </c>
    </row>
    <row r="8" spans="1:15" ht="12.75" customHeight="1">
      <c r="A8" s="82"/>
      <c r="B8" s="89"/>
      <c r="C8" s="17" t="s">
        <v>25</v>
      </c>
      <c r="D8" s="118">
        <f>IF(AND(SLU_1&gt;0,SF_1&gt;0),IF(OR(SMG_1&gt;0,SMW_1&gt;0),SMG_1,0),0)</f>
        <v>0</v>
      </c>
      <c r="E8" s="92"/>
      <c r="G8" s="87"/>
      <c r="H8" s="78"/>
      <c r="I8" s="79" t="s">
        <v>12</v>
      </c>
      <c r="J8" s="22">
        <f>0.5*SF_s</f>
        <v>0</v>
      </c>
      <c r="K8" s="8">
        <f>SCL_s</f>
        <v>0</v>
      </c>
      <c r="L8" s="21"/>
      <c r="O8" s="90"/>
    </row>
    <row r="9" spans="1:15" ht="12.75" customHeight="1">
      <c r="A9" s="82"/>
      <c r="B9" s="89"/>
      <c r="C9" s="17" t="s">
        <v>6</v>
      </c>
      <c r="D9" s="118">
        <f>IF(AND(SLU_1&gt;0,SF_1&gt;0),IF(OR(SMG_1&gt;0,SMW_1&gt;0),SF_1,0),0)</f>
        <v>0</v>
      </c>
      <c r="E9" s="92"/>
      <c r="G9" s="87"/>
      <c r="H9" s="9"/>
      <c r="I9" s="3"/>
      <c r="J9" s="45">
        <f>0.3*(Head_x-SLE_Half_Luff_x)+SLE_Half_Luff_x</f>
        <v>0</v>
      </c>
      <c r="K9" s="22" t="e">
        <f>0.6*(Head_y-SLE_Half_Luff_y)+SLE_Half_Luff_y</f>
        <v>#DIV/0!</v>
      </c>
      <c r="L9" s="4"/>
      <c r="N9" s="21" t="s">
        <v>14</v>
      </c>
      <c r="O9" s="91"/>
    </row>
    <row r="10" spans="1:15" ht="12.75" customHeight="1">
      <c r="A10" s="82"/>
      <c r="B10" s="93"/>
      <c r="C10" s="94"/>
      <c r="D10" s="95"/>
      <c r="E10" s="96"/>
      <c r="G10" s="87"/>
      <c r="H10" s="9"/>
      <c r="I10" s="21" t="s">
        <v>35</v>
      </c>
      <c r="J10" s="8">
        <f>0.5*SF_s-0.5*SHW_s</f>
        <v>0</v>
      </c>
      <c r="K10" s="22" t="e">
        <f>SHW_s_y</f>
        <v>#DIV/0!</v>
      </c>
      <c r="L10" s="4"/>
      <c r="N10" s="22" t="s">
        <v>9</v>
      </c>
      <c r="O10" s="6" t="s">
        <v>10</v>
      </c>
    </row>
    <row r="11" spans="1:15" ht="12.75" customHeight="1">
      <c r="A11" s="82"/>
      <c r="B11" s="81"/>
      <c r="C11" s="81"/>
      <c r="D11" s="81"/>
      <c r="E11" s="81"/>
      <c r="F11" s="81"/>
      <c r="G11" s="87"/>
      <c r="H11" s="9"/>
      <c r="I11" s="21" t="s">
        <v>11</v>
      </c>
      <c r="J11" s="22">
        <f>IF(AND(SLU_1&gt;0,SF_1&gt;0),IF(OR(SMG_1&gt;0,SMW_1&gt;0),0,0),0)</f>
        <v>0</v>
      </c>
      <c r="K11" s="22">
        <f>IF(AND(SLU_1&gt;0,SF_1&gt;0),IF(OR(SMG_1&gt;0,SMW_1&gt;0),0,0),0)</f>
        <v>0</v>
      </c>
      <c r="L11" s="21"/>
      <c r="M11" s="21" t="s">
        <v>15</v>
      </c>
      <c r="N11" s="22" t="e">
        <f>SS_ydata_range+SS_axes_minx</f>
        <v>#DIV/0!</v>
      </c>
      <c r="O11" s="6" t="e">
        <f>MAX(K4:K23)</f>
        <v>#DIV/0!</v>
      </c>
    </row>
    <row r="12" spans="1:15" ht="12.75" customHeight="1">
      <c r="A12" s="82"/>
      <c r="B12" s="97"/>
      <c r="C12" s="98"/>
      <c r="D12" s="97"/>
      <c r="E12" s="97"/>
      <c r="F12" s="97"/>
      <c r="G12" s="87"/>
      <c r="H12" s="10" t="s">
        <v>5</v>
      </c>
      <c r="I12" s="21" t="s">
        <v>11</v>
      </c>
      <c r="J12" s="22">
        <f>IF(AND(SLU_1&gt;0,SF_1&gt;0),IF(OR(SMG_1&gt;0,SMW_1&gt;0),0,0),0)</f>
        <v>0</v>
      </c>
      <c r="K12" s="22">
        <f>IF(AND(SLU_1&gt;0,SF_1&gt;0),IF(OR(SMG_1&gt;0,SMW_1&gt;0),0,0),0)</f>
        <v>0</v>
      </c>
      <c r="L12" s="3"/>
      <c r="M12" s="21" t="s">
        <v>16</v>
      </c>
      <c r="N12" s="22" t="e">
        <f>-(SS_ydata_range-SS_xdata_range)/2</f>
        <v>#DIV/0!</v>
      </c>
      <c r="O12" s="6" t="e">
        <f>MIN(K4:K23)</f>
        <v>#DIV/0!</v>
      </c>
    </row>
    <row r="13" spans="1:15" ht="12.75" customHeight="1">
      <c r="A13" s="82"/>
      <c r="B13" s="97"/>
      <c r="C13" s="97"/>
      <c r="D13" s="97"/>
      <c r="E13" s="97"/>
      <c r="F13" s="97"/>
      <c r="G13" s="87"/>
      <c r="H13" s="10"/>
      <c r="I13" s="21" t="s">
        <v>26</v>
      </c>
      <c r="J13" s="22">
        <f>0.5*SF_s</f>
        <v>0</v>
      </c>
      <c r="K13" s="22">
        <f>-0.015*SCL_s</f>
        <v>0</v>
      </c>
      <c r="L13" s="3"/>
      <c r="M13" s="3"/>
      <c r="N13" s="22" t="e">
        <f>N12-N11</f>
        <v>#DIV/0!</v>
      </c>
      <c r="O13" s="6" t="e">
        <f>O11-O12</f>
        <v>#DIV/0!</v>
      </c>
    </row>
    <row r="14" spans="1:15" ht="12.75" customHeight="1">
      <c r="A14" s="82"/>
      <c r="B14" s="97"/>
      <c r="C14" s="99"/>
      <c r="D14" s="100"/>
      <c r="E14" s="97"/>
      <c r="F14" s="97"/>
      <c r="G14" s="87"/>
      <c r="H14" s="10"/>
      <c r="I14" s="21" t="s">
        <v>11</v>
      </c>
      <c r="J14" s="22">
        <f>SF_s</f>
        <v>0</v>
      </c>
      <c r="K14" s="22">
        <f>IF(AND(SLU_1&gt;0,SF_1&gt;0),IF(OR(SMG_1&gt;0,SMW_1&gt;0),0,0),0)</f>
        <v>0</v>
      </c>
      <c r="L14" s="21"/>
      <c r="M14" s="3"/>
      <c r="N14" s="3"/>
      <c r="O14" s="11"/>
    </row>
    <row r="15" spans="1:15" ht="12.75" customHeight="1">
      <c r="A15" s="82"/>
      <c r="B15" s="97"/>
      <c r="C15" s="3"/>
      <c r="D15" s="3"/>
      <c r="E15" s="21"/>
      <c r="F15" s="21"/>
      <c r="G15" s="87"/>
      <c r="H15" s="9"/>
      <c r="L15" s="4"/>
      <c r="N15" s="21" t="s">
        <v>31</v>
      </c>
      <c r="O15" s="91"/>
    </row>
    <row r="16" spans="1:15" ht="12.75" customHeight="1">
      <c r="A16" s="82"/>
      <c r="B16" s="97"/>
      <c r="C16" s="21"/>
      <c r="D16" s="21"/>
      <c r="E16" s="8"/>
      <c r="F16" s="22"/>
      <c r="G16" s="87"/>
      <c r="H16" s="10" t="s">
        <v>76</v>
      </c>
      <c r="I16" s="21" t="s">
        <v>23</v>
      </c>
      <c r="J16" s="22">
        <f>J69</f>
        <v>0</v>
      </c>
      <c r="K16" s="22">
        <f>K69</f>
        <v>0</v>
      </c>
      <c r="L16" s="4"/>
      <c r="N16" s="21" t="s">
        <v>9</v>
      </c>
      <c r="O16" s="5" t="s">
        <v>10</v>
      </c>
    </row>
    <row r="17" spans="1:15" ht="12.75" customHeight="1">
      <c r="A17" s="82"/>
      <c r="B17" s="97"/>
      <c r="C17" s="21"/>
      <c r="D17" s="21"/>
      <c r="E17" s="8"/>
      <c r="F17" s="22"/>
      <c r="G17" s="87"/>
      <c r="H17" s="10"/>
      <c r="I17" s="21" t="s">
        <v>78</v>
      </c>
      <c r="J17" s="22">
        <f>J70</f>
        <v>0</v>
      </c>
      <c r="K17" s="22">
        <f>K70</f>
        <v>0</v>
      </c>
      <c r="L17" s="4"/>
      <c r="M17" s="21" t="s">
        <v>32</v>
      </c>
      <c r="N17" s="22" t="e">
        <f>N11</f>
        <v>#DIV/0!</v>
      </c>
      <c r="O17" s="6" t="e">
        <f>SS_axes_miny</f>
        <v>#DIV/0!</v>
      </c>
    </row>
    <row r="18" spans="1:15" ht="12.75" customHeight="1">
      <c r="A18" s="82"/>
      <c r="B18" s="97"/>
      <c r="C18" s="45"/>
      <c r="D18" s="45"/>
      <c r="E18" s="45"/>
      <c r="F18" s="22"/>
      <c r="G18" s="87"/>
      <c r="H18" s="10" t="s">
        <v>77</v>
      </c>
      <c r="I18" s="21" t="s">
        <v>23</v>
      </c>
      <c r="J18" s="22">
        <f>J62</f>
        <v>0</v>
      </c>
      <c r="K18" s="22">
        <f>K62</f>
        <v>0</v>
      </c>
      <c r="L18" s="4"/>
      <c r="M18" s="3"/>
      <c r="N18" s="22" t="e">
        <f>SS_axes_minx</f>
        <v>#DIV/0!</v>
      </c>
      <c r="O18" s="6" t="e">
        <f>SS_axes_miny</f>
        <v>#DIV/0!</v>
      </c>
    </row>
    <row r="19" spans="1:15" ht="12.75" customHeight="1">
      <c r="A19" s="82"/>
      <c r="B19" s="97"/>
      <c r="C19" s="21"/>
      <c r="D19" s="21"/>
      <c r="E19" s="22"/>
      <c r="F19" s="22"/>
      <c r="G19" s="87"/>
      <c r="H19" s="10"/>
      <c r="I19" s="21" t="s">
        <v>78</v>
      </c>
      <c r="J19" s="22">
        <f>J63</f>
        <v>0</v>
      </c>
      <c r="K19" s="22">
        <f>K63</f>
        <v>0</v>
      </c>
      <c r="L19" s="4"/>
      <c r="M19" s="21" t="s">
        <v>33</v>
      </c>
      <c r="N19" s="22" t="e">
        <f>SS_axes_minx</f>
        <v>#DIV/0!</v>
      </c>
      <c r="O19" s="6" t="e">
        <f>SS_axes_miny</f>
        <v>#DIV/0!</v>
      </c>
    </row>
    <row r="20" spans="1:15" ht="12.75" customHeight="1">
      <c r="A20" s="82"/>
      <c r="D20" s="21"/>
      <c r="E20" s="22"/>
      <c r="F20" s="22"/>
      <c r="G20" s="87"/>
      <c r="H20" s="10" t="s">
        <v>81</v>
      </c>
      <c r="I20" s="21" t="s">
        <v>11</v>
      </c>
      <c r="J20" s="22">
        <f>Clew_Left_x</f>
        <v>0</v>
      </c>
      <c r="K20" s="22">
        <f>K76</f>
        <v>0</v>
      </c>
      <c r="L20" s="4"/>
      <c r="M20" s="3"/>
      <c r="N20" s="22" t="e">
        <f>SS_axes_minx</f>
        <v>#DIV/0!</v>
      </c>
      <c r="O20" s="6" t="e">
        <f>SS_axes_maxy</f>
        <v>#DIV/0!</v>
      </c>
    </row>
    <row r="21" spans="1:15" ht="12.75" customHeight="1">
      <c r="A21" s="82"/>
      <c r="E21" s="45"/>
      <c r="F21" s="22"/>
      <c r="G21" s="87"/>
      <c r="H21" s="10"/>
      <c r="I21" s="21" t="s">
        <v>11</v>
      </c>
      <c r="J21" s="22">
        <f>Clew_Right_x</f>
        <v>0</v>
      </c>
      <c r="K21" s="22">
        <f>K77</f>
        <v>0</v>
      </c>
      <c r="L21" s="4"/>
      <c r="M21" s="3"/>
      <c r="N21" s="3"/>
      <c r="O21" s="11"/>
    </row>
    <row r="22" spans="1:15" ht="12.75" customHeight="1">
      <c r="A22" s="82"/>
      <c r="D22" s="21"/>
      <c r="E22" s="8"/>
      <c r="F22" s="22"/>
      <c r="G22" s="87"/>
      <c r="H22" s="10" t="s">
        <v>4</v>
      </c>
      <c r="I22" s="21" t="s">
        <v>19</v>
      </c>
      <c r="J22" s="22">
        <f>J5</f>
        <v>0</v>
      </c>
      <c r="K22" s="22" t="e">
        <f>K5</f>
        <v>#DIV/0!</v>
      </c>
      <c r="L22" s="4"/>
      <c r="M22" s="21" t="s">
        <v>38</v>
      </c>
      <c r="N22" s="22" t="e">
        <f>ACOS(0.5*SF_s/SLU_s)</f>
        <v>#DIV/0!</v>
      </c>
      <c r="O22" s="5" t="s">
        <v>7</v>
      </c>
    </row>
    <row r="23" spans="1:15" ht="12.75" customHeight="1">
      <c r="A23" s="82"/>
      <c r="C23" s="3"/>
      <c r="D23" s="21"/>
      <c r="E23" s="8"/>
      <c r="F23" s="22"/>
      <c r="G23" s="87"/>
      <c r="H23" s="10"/>
      <c r="I23" s="21" t="s">
        <v>20</v>
      </c>
      <c r="J23" s="22">
        <f>J10</f>
        <v>0</v>
      </c>
      <c r="K23" s="22" t="e">
        <f>K10</f>
        <v>#DIV/0!</v>
      </c>
      <c r="L23" s="4"/>
      <c r="M23" s="21" t="s">
        <v>38</v>
      </c>
      <c r="N23" s="22" t="e">
        <f>Clew_Angle*180/PI()</f>
        <v>#DIV/0!</v>
      </c>
      <c r="O23" s="5" t="s">
        <v>8</v>
      </c>
    </row>
    <row r="24" spans="1:15" ht="12.75" customHeight="1">
      <c r="A24" s="82"/>
      <c r="C24" s="21"/>
      <c r="D24" s="21"/>
      <c r="E24" s="22"/>
      <c r="F24" s="22"/>
      <c r="G24" s="87"/>
      <c r="H24" s="7"/>
      <c r="L24" s="4"/>
      <c r="M24" s="21" t="s">
        <v>34</v>
      </c>
      <c r="N24" s="22" t="e">
        <f>-Clew_Angle</f>
        <v>#DIV/0!</v>
      </c>
      <c r="O24" s="5" t="s">
        <v>7</v>
      </c>
    </row>
    <row r="25" spans="1:15" ht="12.75" customHeight="1">
      <c r="A25" s="82"/>
      <c r="C25" s="21"/>
      <c r="D25" s="21"/>
      <c r="E25" s="22"/>
      <c r="F25" s="22"/>
      <c r="G25" s="87"/>
      <c r="H25" s="7"/>
      <c r="L25" s="4"/>
      <c r="M25" s="21" t="s">
        <v>34</v>
      </c>
      <c r="N25" s="22" t="e">
        <f>-Clew_Angle_s_d</f>
        <v>#DIV/0!</v>
      </c>
      <c r="O25" s="5" t="s">
        <v>8</v>
      </c>
    </row>
    <row r="26" spans="1:15" ht="12.75" customHeight="1">
      <c r="A26" s="82"/>
      <c r="C26" s="21"/>
      <c r="D26" s="21"/>
      <c r="E26" s="22"/>
      <c r="F26" s="22"/>
      <c r="G26" s="101"/>
      <c r="H26" s="7"/>
      <c r="L26" s="3"/>
      <c r="M26" s="3"/>
      <c r="N26" s="3"/>
      <c r="O26" s="12"/>
    </row>
    <row r="27" spans="1:15" ht="12.75" customHeight="1">
      <c r="A27" s="82"/>
      <c r="G27" s="101"/>
      <c r="H27" s="7"/>
      <c r="L27" s="4"/>
      <c r="M27" s="22" t="s">
        <v>17</v>
      </c>
      <c r="N27" s="22">
        <f>SQRT(SLU_s^2-0.5*SF_s)</f>
        <v>0</v>
      </c>
      <c r="O27" s="11"/>
    </row>
    <row r="28" spans="1:15" ht="12.75" customHeight="1">
      <c r="A28" s="82"/>
      <c r="G28" s="87"/>
      <c r="H28" s="7"/>
      <c r="L28" s="4"/>
      <c r="M28" s="21" t="s">
        <v>13</v>
      </c>
      <c r="N28" s="22">
        <f>1.05*SCL_s</f>
        <v>0</v>
      </c>
      <c r="O28" s="11"/>
    </row>
    <row r="29" spans="1:17" ht="12.75" customHeight="1">
      <c r="A29" s="82"/>
      <c r="G29" s="87"/>
      <c r="H29" s="7"/>
      <c r="L29" s="4"/>
      <c r="M29" s="22" t="s">
        <v>4</v>
      </c>
      <c r="N29" s="22">
        <f>IF(OR(SHW_s_Input&gt;0,SMW_s&gt;0),MAX(D7:D8),0)</f>
        <v>0</v>
      </c>
      <c r="O29" s="6"/>
      <c r="Q29" s="114">
        <f>MAX(D7:D8)</f>
        <v>0</v>
      </c>
    </row>
    <row r="30" spans="1:15" ht="12.75" customHeight="1">
      <c r="A30" s="82"/>
      <c r="G30" s="87"/>
      <c r="H30" s="7"/>
      <c r="L30" s="3"/>
      <c r="O30" s="12"/>
    </row>
    <row r="31" spans="1:15" ht="12.75" customHeight="1">
      <c r="A31" s="82"/>
      <c r="B31" s="102"/>
      <c r="C31" s="102"/>
      <c r="D31" s="102"/>
      <c r="E31" s="102"/>
      <c r="F31" s="102"/>
      <c r="G31" s="87"/>
      <c r="H31" s="7"/>
      <c r="I31" s="2"/>
      <c r="J31" s="1"/>
      <c r="K31" s="2"/>
      <c r="L31" s="3"/>
      <c r="M31" s="21"/>
      <c r="N31" s="21" t="s">
        <v>9</v>
      </c>
      <c r="O31" s="5" t="s">
        <v>10</v>
      </c>
    </row>
    <row r="32" spans="1:15" ht="12.75" customHeight="1">
      <c r="A32" s="82"/>
      <c r="G32" s="87"/>
      <c r="H32" s="7"/>
      <c r="I32" s="2"/>
      <c r="J32" s="21"/>
      <c r="K32" s="4"/>
      <c r="L32" s="3"/>
      <c r="M32" s="21" t="s">
        <v>18</v>
      </c>
      <c r="N32" s="22" t="e">
        <f>0.5*SLU_s*COS(Clew_Angle)</f>
        <v>#DIV/0!</v>
      </c>
      <c r="O32" s="6" t="e">
        <f>0.5*SLU_s*SIN(Clew_Angle)</f>
        <v>#DIV/0!</v>
      </c>
    </row>
    <row r="33" spans="1:15" ht="12.75" customHeight="1">
      <c r="A33" s="82"/>
      <c r="C33" s="103"/>
      <c r="G33" s="87"/>
      <c r="H33" s="7"/>
      <c r="I33" s="2"/>
      <c r="J33" s="21"/>
      <c r="K33" s="4"/>
      <c r="L33" s="3"/>
      <c r="M33" s="21" t="s">
        <v>41</v>
      </c>
      <c r="N33" s="22">
        <f>-0.5*SHW_s</f>
        <v>0</v>
      </c>
      <c r="O33" s="6" t="e">
        <f>(0.5*SHW_s+0.5*SLU_s/COS(Clew_Angle)-0.5*SF_s)*TAN(1.57-Clew_Angle)</f>
        <v>#DIV/0!</v>
      </c>
    </row>
    <row r="34" spans="1:15" ht="12.75" customHeight="1">
      <c r="A34" s="82"/>
      <c r="C34" s="103"/>
      <c r="G34" s="87"/>
      <c r="H34" s="7"/>
      <c r="I34" s="2"/>
      <c r="J34" s="21"/>
      <c r="K34" s="22" t="s">
        <v>21</v>
      </c>
      <c r="L34" s="104"/>
      <c r="M34" s="21" t="s">
        <v>18</v>
      </c>
      <c r="N34" s="22" t="e">
        <f>Clew_Left_x-0.5*SLU_s*COS(Clew_Angle)</f>
        <v>#DIV/0!</v>
      </c>
      <c r="O34" s="6" t="e">
        <f>0.5*SLU_s*SIN(Clew_Angle)</f>
        <v>#DIV/0!</v>
      </c>
    </row>
    <row r="35" spans="1:15" ht="12.75" customHeight="1">
      <c r="A35" s="82"/>
      <c r="G35" s="87"/>
      <c r="H35" s="7"/>
      <c r="I35" s="2"/>
      <c r="J35" s="21"/>
      <c r="K35" s="22" t="s">
        <v>22</v>
      </c>
      <c r="L35" s="104"/>
      <c r="M35" s="21" t="s">
        <v>41</v>
      </c>
      <c r="N35" s="22">
        <f>J5</f>
        <v>0</v>
      </c>
      <c r="O35" s="6" t="e">
        <f>SHW_s_y</f>
        <v>#DIV/0!</v>
      </c>
    </row>
    <row r="36" spans="1:15" ht="12.75" customHeight="1">
      <c r="A36" s="82"/>
      <c r="C36" s="105"/>
      <c r="G36" s="87"/>
      <c r="H36" s="7"/>
      <c r="I36" s="2"/>
      <c r="J36" s="21"/>
      <c r="K36" s="22" t="s">
        <v>28</v>
      </c>
      <c r="L36" s="104"/>
      <c r="M36" s="21" t="s">
        <v>18</v>
      </c>
      <c r="N36" s="22" t="e">
        <f>Clew_Right_x+0.5*SLU_s*COS(Clew_Angle)</f>
        <v>#DIV/0!</v>
      </c>
      <c r="O36" s="6" t="e">
        <f>0.5*SLU_s*SIN(Clew_Angle)</f>
        <v>#DIV/0!</v>
      </c>
    </row>
    <row r="37" spans="1:15" ht="12.75" customHeight="1">
      <c r="A37" s="82"/>
      <c r="G37" s="87"/>
      <c r="H37" s="13"/>
      <c r="I37" s="14"/>
      <c r="J37" s="15"/>
      <c r="K37" s="23" t="s">
        <v>22</v>
      </c>
      <c r="L37" s="106"/>
      <c r="M37" s="15" t="s">
        <v>41</v>
      </c>
      <c r="N37" s="23">
        <f>J10</f>
        <v>0</v>
      </c>
      <c r="O37" s="16" t="e">
        <f>SHW_s_y</f>
        <v>#DIV/0!</v>
      </c>
    </row>
    <row r="38" spans="8:15" ht="12.75" customHeight="1">
      <c r="H38" s="74"/>
      <c r="I38" s="74"/>
      <c r="J38" s="75"/>
      <c r="K38" s="76"/>
      <c r="L38" s="107"/>
      <c r="M38" s="75"/>
      <c r="N38" s="76"/>
      <c r="O38" s="76"/>
    </row>
    <row r="39" spans="11:15" ht="12.75" customHeight="1">
      <c r="K39" s="22"/>
      <c r="L39" s="104"/>
      <c r="M39" s="21"/>
      <c r="N39" s="22"/>
      <c r="O39" s="22"/>
    </row>
    <row r="40" spans="8:15" ht="12.75" customHeight="1">
      <c r="H40" s="80" t="s">
        <v>79</v>
      </c>
      <c r="J40" s="108" t="e">
        <f>RADIANS(180-Clew_Angle_s_d)</f>
        <v>#DIV/0!</v>
      </c>
      <c r="K40" s="22"/>
      <c r="L40" s="104"/>
      <c r="M40" s="21"/>
      <c r="N40" s="22"/>
      <c r="O40" s="22"/>
    </row>
    <row r="41" spans="8:15" ht="12.75" customHeight="1">
      <c r="H41" s="1" t="s">
        <v>74</v>
      </c>
      <c r="I41" s="2"/>
      <c r="J41" s="4" t="e">
        <f>RADIANS(180-Clew_Angle_s_d-90)</f>
        <v>#DIV/0!</v>
      </c>
      <c r="K41" s="22"/>
      <c r="L41" s="104"/>
      <c r="M41" s="21"/>
      <c r="N41" s="22"/>
      <c r="O41" s="22"/>
    </row>
    <row r="42" spans="1:15" s="102" customFormat="1" ht="12.75" customHeight="1">
      <c r="A42" s="109"/>
      <c r="G42" s="110"/>
      <c r="H42" s="1" t="s">
        <v>75</v>
      </c>
      <c r="I42" s="2"/>
      <c r="J42" s="4" t="e">
        <f>Clew_Angle+RADIANS(90)</f>
        <v>#DIV/0!</v>
      </c>
      <c r="K42" s="81"/>
      <c r="L42" s="81"/>
      <c r="M42" s="81"/>
      <c r="N42" s="81"/>
      <c r="O42" s="81"/>
    </row>
    <row r="43" ht="12.75">
      <c r="K43" s="111"/>
    </row>
    <row r="44" spans="7:12" ht="12.75">
      <c r="G44" s="82"/>
      <c r="H44" s="112" t="s">
        <v>54</v>
      </c>
      <c r="J44" s="73" t="s">
        <v>9</v>
      </c>
      <c r="K44" s="24" t="s">
        <v>10</v>
      </c>
      <c r="L44" s="113"/>
    </row>
    <row r="45" spans="7:15" ht="12.75">
      <c r="G45" s="82"/>
      <c r="H45" s="80">
        <f>IF(AND(SLU_s&gt;0,SF_s&gt;0),IF(OR(SHW_s_Input&gt;0,SMW_s&gt;0),"Luff/Leech Length",""),"")</f>
      </c>
      <c r="I45" s="80" t="s">
        <v>19</v>
      </c>
      <c r="J45" s="108" t="e">
        <f>J63+M45*SLU_s*COS(J40)</f>
        <v>#DIV/0!</v>
      </c>
      <c r="K45" s="108" t="e">
        <f>K63+M45*SLU_s*SIN(J40)</f>
        <v>#DIV/0!</v>
      </c>
      <c r="L45" s="80" t="s">
        <v>80</v>
      </c>
      <c r="M45" s="114">
        <v>0.64</v>
      </c>
      <c r="N45" s="114">
        <f>J14</f>
        <v>0</v>
      </c>
      <c r="O45" s="114">
        <f>K14</f>
        <v>0</v>
      </c>
    </row>
    <row r="46" spans="7:15" ht="12.75">
      <c r="G46" s="82"/>
      <c r="H46" s="80">
        <f>IF(AND(SLU_s&gt;0,SF_s&gt;0),IF(OR(SHW_s_Input&gt;0,SMW_s&gt;0),"Luff/Leech Length",""),"")</f>
      </c>
      <c r="I46" s="80" t="s">
        <v>20</v>
      </c>
      <c r="J46" s="108" t="e">
        <f>J70+M46*SLU_s*COS(Clew_Angle)</f>
        <v>#DIV/0!</v>
      </c>
      <c r="K46" s="108" t="e">
        <f>K70+M46*SLU_s*SIN(Clew_Angle)</f>
        <v>#DIV/0!</v>
      </c>
      <c r="L46" s="80" t="s">
        <v>80</v>
      </c>
      <c r="M46" s="80">
        <v>0.66</v>
      </c>
      <c r="N46" s="114" t="e">
        <f>N45+5*COS(LeftPer)</f>
        <v>#DIV/0!</v>
      </c>
      <c r="O46" s="114" t="e">
        <f>O45+5*SIN(LeftPer)</f>
        <v>#DIV/0!</v>
      </c>
    </row>
    <row r="47" spans="7:15" ht="12.75">
      <c r="G47" s="82"/>
      <c r="J47" s="115"/>
      <c r="K47" s="108"/>
      <c r="N47" s="114"/>
      <c r="O47" s="114"/>
    </row>
    <row r="48" spans="7:11" ht="12.75">
      <c r="G48" s="82"/>
      <c r="J48" s="115"/>
      <c r="K48" s="115"/>
    </row>
    <row r="49" spans="7:11" ht="12.75">
      <c r="G49" s="82"/>
      <c r="H49" s="105">
        <f>IF(AND(SLU_s&gt;0,SF_s&gt;0),IF(SHW_s_Input&gt;SMW_s,"Half Width","Max Width"),"")</f>
      </c>
      <c r="J49" s="108">
        <f>Head_x</f>
        <v>0</v>
      </c>
      <c r="K49" s="108" t="e">
        <f>K22-0.03*SLU_s</f>
        <v>#DIV/0!</v>
      </c>
    </row>
    <row r="50" spans="7:11" ht="12.75">
      <c r="G50" s="82"/>
      <c r="J50" s="115"/>
      <c r="K50" s="115"/>
    </row>
    <row r="51" spans="8:14" ht="12.75">
      <c r="H51" s="105"/>
      <c r="J51" s="108">
        <f>Head_x</f>
        <v>0</v>
      </c>
      <c r="K51" s="108" t="e">
        <f>K22-0.03*SLU_s</f>
        <v>#DIV/0!</v>
      </c>
      <c r="N51" s="80" t="s">
        <v>82</v>
      </c>
    </row>
    <row r="52" spans="7:11" ht="12.75">
      <c r="G52" s="82"/>
      <c r="J52" s="115"/>
      <c r="K52" s="115"/>
    </row>
    <row r="53" spans="7:11" ht="12.75">
      <c r="G53" s="82"/>
      <c r="H53" s="80">
        <f>IF(AND(SLU_s&gt;0,SF_s&gt;0),IF(OR(SHW_s_Input&gt;0,SMW_s&gt;0),"Foot Length",""),"")</f>
      </c>
      <c r="J53" s="108">
        <f>Head_x</f>
        <v>0</v>
      </c>
      <c r="K53" s="108">
        <f>Clew_Left_y+0.03*SLU_s</f>
        <v>0</v>
      </c>
    </row>
    <row r="54" ht="12.75">
      <c r="G54" s="82"/>
    </row>
    <row r="55" spans="7:11" ht="12.75">
      <c r="G55" s="82"/>
      <c r="J55" s="73" t="s">
        <v>9</v>
      </c>
      <c r="K55" s="24" t="s">
        <v>10</v>
      </c>
    </row>
    <row r="56" spans="7:9" ht="12.75">
      <c r="G56" s="82"/>
      <c r="H56" s="116" t="s">
        <v>72</v>
      </c>
      <c r="I56" s="114">
        <f>0.015*SLU_s</f>
        <v>0</v>
      </c>
    </row>
    <row r="57" spans="7:9" ht="12.75">
      <c r="G57" s="82"/>
      <c r="H57" s="116" t="s">
        <v>73</v>
      </c>
      <c r="I57" s="114">
        <f>I56*1.33</f>
        <v>0</v>
      </c>
    </row>
    <row r="58" spans="7:11" ht="12.75">
      <c r="G58" s="82"/>
      <c r="H58" s="116" t="s">
        <v>55</v>
      </c>
      <c r="I58" s="116" t="s">
        <v>56</v>
      </c>
      <c r="J58" s="117">
        <f>IF(AND(SLU_s&gt;0,SLE_s&gt;0,SHW_s&gt;0,SF_s&gt;0),Head_x+Tick_Offset*COS(LeftPer),0)</f>
        <v>0</v>
      </c>
      <c r="K58" s="117">
        <f>IF(AND(SLU_s&gt;0,SLE_s&gt;0,SHW_s&gt;0,SF_s&gt;0),Head_y+Tick_Offset*SIN(LeftPer),0)</f>
        <v>0</v>
      </c>
    </row>
    <row r="59" spans="7:11" ht="12.75">
      <c r="G59" s="82"/>
      <c r="H59" s="116"/>
      <c r="I59" s="116" t="s">
        <v>57</v>
      </c>
      <c r="J59" s="117">
        <f>IF(AND(SLU_s&gt;0,SLE_s&gt;0,SHW_s&gt;0,SF_s&gt;0),J58+Tick_length*COS(LeftPer),0)</f>
        <v>0</v>
      </c>
      <c r="K59" s="117">
        <f>IF(AND(SLU_s&gt;0,SLE_s&gt;0,SHW_s&gt;0,SF_s&gt;0),K58+Tick_length*SIN(LeftPer),0)</f>
        <v>0</v>
      </c>
    </row>
    <row r="60" spans="7:11" ht="12.75">
      <c r="G60" s="82"/>
      <c r="I60" s="116" t="s">
        <v>58</v>
      </c>
      <c r="J60" s="117">
        <f>IF(AND(SLU_s&gt;0,SLE_s&gt;0,SHW_s&gt;0,SF_s&gt;0),Clew_Left_x+Tick_Offset*COS(LeftPer),0)</f>
        <v>0</v>
      </c>
      <c r="K60" s="117">
        <f>IF(AND(SLU_s&gt;0,SLE_s&gt;0,SHW_s&gt;0,SF_s&gt;0),Clew_Left_y+Tick_Offset*SIN(LeftPer),0)</f>
        <v>0</v>
      </c>
    </row>
    <row r="61" spans="7:11" ht="12.75">
      <c r="G61" s="82"/>
      <c r="I61" s="116" t="s">
        <v>59</v>
      </c>
      <c r="J61" s="117">
        <f>IF(AND(SLU_s&gt;0,SLE_s&gt;0,SHW_s&gt;0,SF_s&gt;0),J60+Tick_length*COS(LeftPer),0)</f>
        <v>0</v>
      </c>
      <c r="K61" s="117">
        <f>IF(AND(SLU_s&gt;0,SLE_s&gt;0,SHW_s&gt;0,SF_s&gt;0),K60+Tick_length*SIN(LeftPer),0)</f>
        <v>0</v>
      </c>
    </row>
    <row r="62" spans="7:11" ht="12.75">
      <c r="G62" s="82"/>
      <c r="I62" s="116" t="s">
        <v>60</v>
      </c>
      <c r="J62" s="117">
        <f>IF(AND(SLU_s&gt;0,SLE_s&gt;0,SHW_s&gt;0,SF_s&gt;0),J58+0.5*Tick_length*COS(LeftPer),0)</f>
        <v>0</v>
      </c>
      <c r="K62" s="117">
        <f>IF(AND(SLU_s&gt;0,SLE_s&gt;0,SHW_s&gt;0,SF_s&gt;0),K58+0.5*Tick_length*SIN(LeftPer),0)</f>
        <v>0</v>
      </c>
    </row>
    <row r="63" spans="7:11" ht="12.75">
      <c r="G63" s="82"/>
      <c r="I63" s="116" t="s">
        <v>61</v>
      </c>
      <c r="J63" s="117">
        <f>IF(AND(SLU_s&gt;0,SLE_s&gt;0,SHW_s&gt;0,SF_s&gt;0),J60+0.5*Tick_length*COS(LeftPer),0)</f>
        <v>0</v>
      </c>
      <c r="K63" s="117">
        <f>IF(AND(SLU_s&gt;0,SLE_s&gt;0,SHW_s&gt;0,SF_s&gt;0),K60+0.5*Tick_length*SIN(LeftPer),0)</f>
        <v>0</v>
      </c>
    </row>
    <row r="64" spans="7:11" ht="12.75">
      <c r="G64" s="82"/>
      <c r="I64" s="116"/>
      <c r="J64" s="114"/>
      <c r="K64" s="114"/>
    </row>
    <row r="65" spans="7:11" ht="12.75">
      <c r="G65" s="82"/>
      <c r="H65" s="116" t="s">
        <v>62</v>
      </c>
      <c r="I65" s="116" t="s">
        <v>57</v>
      </c>
      <c r="J65" s="117">
        <f>IF(AND(SLU_s&gt;0,SLE_s&gt;0,SHW_s&gt;0,SF_s&gt;0),Head_x+Tick_Offset*COS(RightPer),0)</f>
        <v>0</v>
      </c>
      <c r="K65" s="117">
        <f>IF(AND(SLU_s&gt;0,SLE_s&gt;0,SHW_s&gt;0,SF_s&gt;0),Head_y+Tick_Offset*SIN(RightPer),0)</f>
        <v>0</v>
      </c>
    </row>
    <row r="66" spans="7:11" ht="12.75">
      <c r="G66" s="82"/>
      <c r="H66" s="116"/>
      <c r="I66" s="116" t="s">
        <v>56</v>
      </c>
      <c r="J66" s="117">
        <f>IF(AND(SLU_s&gt;0,SLE_s&gt;0,SHW_s&gt;0,SF_s&gt;0),J65+Tick_length*COS(RightPer),0)</f>
        <v>0</v>
      </c>
      <c r="K66" s="117">
        <f>IF(AND(SLU_s&gt;0,SLE_s&gt;0,SHW_s&gt;0,SF_s&gt;0),K65+Tick_length*SIN(RightPer),0)</f>
        <v>0</v>
      </c>
    </row>
    <row r="67" spans="7:11" ht="12.75">
      <c r="G67" s="82"/>
      <c r="I67" s="116" t="s">
        <v>59</v>
      </c>
      <c r="J67" s="117">
        <f>IF(AND(SLU_s&gt;0,SLE_s&gt;0,SHW_s&gt;0,SF_s&gt;0),Clew_Right_x+Tick_Offset*COS(RightPer),0)</f>
        <v>0</v>
      </c>
      <c r="K67" s="117">
        <f>IF(AND(SLU_s&gt;0,SLE_s&gt;0,SHW_s&gt;0,SF_s&gt;0),Clew_Right_y+Tick_Offset*SIN(RightPer),0)</f>
        <v>0</v>
      </c>
    </row>
    <row r="68" spans="7:11" ht="12.75">
      <c r="G68" s="82"/>
      <c r="I68" s="116" t="s">
        <v>58</v>
      </c>
      <c r="J68" s="117">
        <f>IF(AND(SLU_s&gt;0,SLE_s&gt;0,SHW_s&gt;0,SF_s&gt;0),J67+Tick_length*COS(RightPer),0)</f>
        <v>0</v>
      </c>
      <c r="K68" s="117">
        <f>IF(AND(SLU_s&gt;0,SLE_s&gt;0,SHW_s&gt;0,SF_s&gt;0),K67+Tick_length*SIN(RightPer),0)</f>
        <v>0</v>
      </c>
    </row>
    <row r="69" spans="7:11" ht="12.75">
      <c r="G69" s="82"/>
      <c r="I69" s="116" t="s">
        <v>63</v>
      </c>
      <c r="J69" s="117">
        <f>IF(AND(SLU_s&gt;0,SLE_s&gt;0,SHW_s&gt;0,SF_s&gt;0),J65+0.5*Tick_length*COS(RightPer),0)</f>
        <v>0</v>
      </c>
      <c r="K69" s="117">
        <f>IF(AND(SLU_s&gt;0,SLE_s&gt;0,SHW_s&gt;0,SF_s&gt;0),K65+0.5*Tick_length*SIN(RightPer),0)</f>
        <v>0</v>
      </c>
    </row>
    <row r="70" spans="7:11" ht="12.75">
      <c r="G70" s="82"/>
      <c r="I70" s="116" t="s">
        <v>64</v>
      </c>
      <c r="J70" s="117">
        <f>IF(AND(SLU_s&gt;0,SLE_s&gt;0,SHW_s&gt;0,SF_s&gt;0),J67+0.5*Tick_length*COS(RightPer),0)</f>
        <v>0</v>
      </c>
      <c r="K70" s="117">
        <f>IF(AND(SLU_s&gt;0,SLE_s&gt;0,SHW_s&gt;0,SF_s&gt;0),K67+0.5*Tick_length*SIN(RightPer),0)</f>
        <v>0</v>
      </c>
    </row>
    <row r="71" ht="12.75">
      <c r="G71" s="82"/>
    </row>
    <row r="72" spans="7:11" ht="12.75">
      <c r="G72" s="82"/>
      <c r="H72" s="116" t="s">
        <v>65</v>
      </c>
      <c r="I72" s="116" t="s">
        <v>66</v>
      </c>
      <c r="J72" s="80">
        <f>Clew_Left_x</f>
        <v>0</v>
      </c>
      <c r="K72" s="114">
        <f>Clew_Left_y+FootOff_y</f>
        <v>0</v>
      </c>
    </row>
    <row r="73" spans="7:11" ht="12.75">
      <c r="G73" s="82"/>
      <c r="H73" s="116"/>
      <c r="I73" s="116" t="s">
        <v>67</v>
      </c>
      <c r="J73" s="80">
        <f>Clew_Left_x</f>
        <v>0</v>
      </c>
      <c r="K73" s="114">
        <f>Clew_Left_y+FootOff_y-Tick_length</f>
        <v>0</v>
      </c>
    </row>
    <row r="74" spans="7:11" ht="12.75">
      <c r="G74" s="82"/>
      <c r="I74" s="116" t="s">
        <v>68</v>
      </c>
      <c r="J74" s="80">
        <f>Clew_Right_x</f>
        <v>0</v>
      </c>
      <c r="K74" s="114">
        <f>Clew_Right_y+FootOff_y</f>
        <v>0</v>
      </c>
    </row>
    <row r="75" spans="7:11" ht="12.75">
      <c r="G75" s="82"/>
      <c r="I75" s="116" t="s">
        <v>69</v>
      </c>
      <c r="J75" s="80">
        <f>Clew_Right_x</f>
        <v>0</v>
      </c>
      <c r="K75" s="114">
        <f>Clew_Right_y+FootOff_y-Tick_length</f>
        <v>0</v>
      </c>
    </row>
    <row r="76" spans="7:11" ht="12.75">
      <c r="G76" s="82"/>
      <c r="I76" s="116" t="s">
        <v>70</v>
      </c>
      <c r="J76" s="80">
        <f>Clew_Left_x</f>
        <v>0</v>
      </c>
      <c r="K76" s="114">
        <f>0.5*(K73-K72)+K72</f>
        <v>0</v>
      </c>
    </row>
    <row r="77" spans="7:11" ht="12.75">
      <c r="G77" s="82"/>
      <c r="I77" s="116" t="s">
        <v>71</v>
      </c>
      <c r="J77" s="80">
        <f>Clew_Right_x</f>
        <v>0</v>
      </c>
      <c r="K77" s="114">
        <f>0.5*(K74-K73)+K73</f>
        <v>0</v>
      </c>
    </row>
    <row r="78" ht="12.75">
      <c r="G78" s="82"/>
    </row>
  </sheetData>
  <sheetProtection password="D23D" sheet="1" objects="1" scenarios="1" selectLockedCells="1"/>
  <mergeCells count="1">
    <mergeCell ref="C4:D4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Sailing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Baittinger</dc:creator>
  <cp:keywords/>
  <dc:description/>
  <cp:lastModifiedBy>Christian Bragdon</cp:lastModifiedBy>
  <cp:lastPrinted>2013-03-21T14:28:16Z</cp:lastPrinted>
  <dcterms:created xsi:type="dcterms:W3CDTF">2013-03-07T14:25:35Z</dcterms:created>
  <dcterms:modified xsi:type="dcterms:W3CDTF">2016-11-01T18:15:39Z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