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730"/>
  <workbookPr codeName="ThisWorkbook"/>
  <mc:AlternateContent xmlns:mc="http://schemas.openxmlformats.org/markup-compatibility/2006">
    <mc:Choice Requires="x15">
      <x15ac:absPath xmlns:x15ac="http://schemas.microsoft.com/office/spreadsheetml/2010/11/ac" url="C:\Users\sailo\OneDrive - United States Sailing Association\2018 IRC Forms\"/>
    </mc:Choice>
  </mc:AlternateContent>
  <xr:revisionPtr revIDLastSave="0" documentId="B34291DA355885F72ABF86BD46700D3A76C8A67F" xr6:coauthVersionLast="25" xr6:coauthVersionMax="25" xr10:uidLastSave="{00000000-0000-0000-0000-000000000000}"/>
  <bookViews>
    <workbookView xWindow="0" yWindow="0" windowWidth="20490" windowHeight="8520" tabRatio="937" xr2:uid="{00000000-000D-0000-FFFF-FFFF00000000}"/>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r:id="rId9"/>
    <sheet name="Lang Boat" sheetId="9" r:id="rId10"/>
    <sheet name="Lang Hull" sheetId="10" r:id="rId11"/>
    <sheet name="Lang Rig" sheetId="11" r:id="rId12"/>
    <sheet name="Lang Other" sheetId="12" r:id="rId13"/>
    <sheet name="Lang Pay" sheetId="13" r:id="rId14"/>
    <sheet name="Lang Drops" sheetId="14" r:id="rId15"/>
    <sheet name="Area 2" sheetId="16" r:id="rId16"/>
    <sheet name="country1" sheetId="17" r:id="rId17"/>
    <sheet name="country2" sheetId="18" r:id="rId18"/>
    <sheet name="Area NOT USED" sheetId="15" r:id="rId19"/>
    <sheet name="Sail Plan calc" sheetId="22" r:id="rId20"/>
  </sheets>
  <externalReferences>
    <externalReference r:id="rId21"/>
    <externalReference r:id="rId22"/>
    <externalReference r:id="rId23"/>
  </externalReferences>
  <definedNames>
    <definedName name="_xlnm._FilterDatabase" localSheetId="5" hidden="1">'Std hull dropdown'!$H$2:$H$133</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dropdown'!$R$2:$R$140</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effPrismatic_">#REF!</definedName>
    <definedName name="Comet">'Std hull dropdown'!$AE$2:$AE$8</definedName>
    <definedName name="Comfort">'Std hull dropdown'!$AF$2:$AF$5</definedName>
    <definedName name="Comfortina">'Std hull dropdown'!$AG$2:$AG$4</definedName>
    <definedName name="Contention">'Std hull dropdown'!$AH$2:$AH$3</definedName>
    <definedName name="Contessa">'Std hull dropdown'!$AI$2:$AI$10</definedName>
    <definedName name="Cookson">'Std hull dropdown'!$AJ$2:$AJ$3</definedName>
    <definedName name="Corby">'Std hull dropdown'!$AK$2:$AK$8</definedName>
    <definedName name="cp">'[2]RM '!$M$4</definedName>
    <definedName name="DB">'Std hull dropdown'!$AL$2:$AL$3</definedName>
    <definedName name="Dehler">'Std hull dropdown'!$AM$2:$AM$32</definedName>
    <definedName name="Design">'Std hull dropdown'!$H$2:$H$11</definedName>
    <definedName name="Design1">'Std hull dropdown'!$H$2:$H$133</definedName>
    <definedName name="Dufour">'Std hull dropdown'!$AN$2:$AN$36</definedName>
    <definedName name="E_" localSheetId="19">'Sail Plan calc'!$B$27</definedName>
    <definedName name="Elan">'Std hull dropdown'!$AO$2:$AO$29</definedName>
    <definedName name="Ericson">'Std hull dropdown'!$AP$2:$AP$4</definedName>
    <definedName name="Etap">'Std hull dropdown'!$AQ$2:$AQ$4</definedName>
    <definedName name="Evelyn">'Std hull dropdown'!$AR$2:$AR$3</definedName>
    <definedName name="Express">'Std hull dropdown'!$AS$2:$AS$5</definedName>
    <definedName name="Farr">'Std hull dropdown'!$AT$2:$AT$27</definedName>
    <definedName name="Feeling">'Std hull dropdown'!$AU$2:$AU$8</definedName>
    <definedName name="FF">'Std hull dropdown'!$AV$2:$AV$3</definedName>
    <definedName name="Figaro">'Std hull dropdown'!$AW$2:$AW$3</definedName>
    <definedName name="Finngulf">'Std hull dropdown'!$AX$2:$AX$7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dropdown'!$AY$2:$AY$13</definedName>
    <definedName name="GrandSoleil">'Std hull dropdown'!$AZ$2:$AZ$33</definedName>
    <definedName name="h_" localSheetId="19">'Sail Plan calc'!$B$23</definedName>
    <definedName name="HallbergRassy">'Std hull dropdown'!$BA$2:$BA$15</definedName>
    <definedName name="Hanse">'Std hull dropdown'!$BB$2:$BB$33</definedName>
    <definedName name="Harmony">'Std hull dropdown'!$BC$2:$BC$6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dropdown'!$BD$2:$BD$20</definedName>
    <definedName name="Hustler">'Std hull dropdown'!$BE$2:$BE$6</definedName>
    <definedName name="HUW_" localSheetId="19">'Sail Plan calc'!$B$37</definedName>
    <definedName name="HUW_">#REF!</definedName>
    <definedName name="Import" localSheetId="19">'[3]Access Import'!#REF!</definedName>
    <definedName name="Import">'Access Import'!#REF!</definedName>
    <definedName name="J_" localSheetId="19">'Sail Plan calc'!$B$28</definedName>
    <definedName name="Jaguar">'Std hull dropdown'!$BG$2:$BG$3</definedName>
    <definedName name="Jboats">'Std hull dropdown'!$BF$2:$BF$46</definedName>
    <definedName name="Jeanneau">'Std hull dropdown'!$BH$3:$BH$85</definedName>
    <definedName name="JPK">'Std hull dropdown'!$BI$2:$BI$6</definedName>
    <definedName name="JudelVrolijk">'Std hull dropdown'!$BJ$2:$BJ$4</definedName>
    <definedName name="KaftposatTrail_" localSheetId="19">'Sail Plan calc'!#REF!</definedName>
    <definedName name="KaftposatTrail_">'[1]Sail Plan calc'!#REF!</definedName>
    <definedName name="Ker">'Std hull dropdown'!$BK$2:$BK$5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dropdown'!$BL$2:$BL$5</definedName>
    <definedName name="Lavranos">'Std hull dropdown'!$BM$2:$BM$3</definedName>
    <definedName name="LCB_">#REF!</definedName>
    <definedName name="LCBfpp_">#REF!</definedName>
    <definedName name="Legend">'Std hull dropdown'!$BN$2:$BN$9</definedName>
    <definedName name="Leisure">'Std hull dropdown'!$BO$2:$BO$3</definedName>
    <definedName name="LH_" localSheetId="19">'Sail Plan calc'!$B$20</definedName>
    <definedName name="Lightwave">'Std hull dropdown'!$BP$2:$BP$4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dropdown'!$BQ$2:$BQ$4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dropdown'!$BR$2:$BR$4</definedName>
    <definedName name="Maxfun">'Std hull dropdown'!$BS$2:$BS$3</definedName>
    <definedName name="Maxi">'Std hull dropdown'!$BT$2:$BT$13</definedName>
    <definedName name="Melges">'Std hull dropdown'!$BU$2:$BU$4</definedName>
    <definedName name="MG">'Std hull dropdown'!$BV$2:$BV$11</definedName>
    <definedName name="MHW_" localSheetId="19">'Sail Plan calc'!$B$30</definedName>
    <definedName name="Moody">'Std hull dropdown'!$BW$2:$BW$20</definedName>
    <definedName name="Morgan">'Std hull dropdown'!$BX$2:$BX$6</definedName>
    <definedName name="Morris">'Std hull dropdown'!$BY$2:$BY$4</definedName>
    <definedName name="MTW_" localSheetId="19">'Sail Plan calc'!$B$31</definedName>
    <definedName name="MUW_" localSheetId="19">'Sail Plan calc'!$B$32</definedName>
    <definedName name="Najad">'Std hull dropdown'!$BZ$2:$BZ$7</definedName>
    <definedName name="Newyork">'Std hull dropdown'!$CA$2:$CA$3</definedName>
    <definedName name="Nicholson">'Std hull dropdown'!$CB$2:$CB$20</definedName>
    <definedName name="Northshore">'Std hull dropdown'!$CC$2:$CC$10</definedName>
    <definedName name="NotListedBelow">'Std hull dropdown'!$EJ$2:$EJ$268</definedName>
    <definedName name="NSX">'Std hull dropdown'!#REF!</definedName>
    <definedName name="NXS">'Std hull dropdown'!$CD$2:$CD$3</definedName>
    <definedName name="Ohlson">'Std hull dropdown'!$CE$2:$CE$4</definedName>
    <definedName name="Olson">'Std hull dropdown'!$CF$2:$CF$6</definedName>
    <definedName name="Oyster">'Std hull dropdown'!$CG$2:$CG$14</definedName>
    <definedName name="P_" localSheetId="19">'Sail Plan calc'!$B$26</definedName>
    <definedName name="Pandora">'Std hull dropdown'!$CH$2:$CH$4</definedName>
    <definedName name="Parker">'Std hull dropdown'!$CI$2:$CI$5</definedName>
    <definedName name="Pearson">'Std hull dropdown'!$CJ$2:$CJ$4</definedName>
    <definedName name="Pedrick">'Std hull dropdown'!$CK$2:$CK$4</definedName>
    <definedName name="Pogo">'Std hull dropdown'!$CL$2:$CL$6</definedName>
    <definedName name="PoleType_" localSheetId="19">'Sail Plan calc'!$B$39</definedName>
    <definedName name="_xlnm.Print_Area" localSheetId="2">Validation!$A$1:$D$95</definedName>
    <definedName name="Prism">'Std hull dropdown'!$CM$2:$CM$3</definedName>
    <definedName name="Pronavia">'Std hull dropdown'!$CN$2:$CN$3</definedName>
    <definedName name="Puppeteer">'Std hull dropdown'!$CO$2:$CO$3</definedName>
    <definedName name="RClPos_" localSheetId="19">'Sail Plan calc'!$Q$6</definedName>
    <definedName name="RClPos_">#REF!</definedName>
    <definedName name="Reflex">'Std hull dropdown'!$CP$2:$CP$3</definedName>
    <definedName name="RIncAngle_" localSheetId="19">'Sail Plan calc'!$Q$8</definedName>
    <definedName name="RIncAngle_">#REF!</definedName>
    <definedName name="Rival">'Std hull dropdown'!$CQ$2:$CQ$6</definedName>
    <definedName name="RMat30">#REF!</definedName>
    <definedName name="RO">'Std hull dropdown'!$CR$2:$CR$4</definedName>
    <definedName name="Robber">'Std hull dropdown'!$CS$2:$CS$4</definedName>
    <definedName name="Ross">'Std hull dropdown'!$CT$2:$CT$4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dropdown'!$CU$2:$CU$3</definedName>
    <definedName name="Rustler">'Std hull dropdown'!$CV$2:$CV$4</definedName>
    <definedName name="Sabre">'Std hull dropdown'!$CX$2:$CX$9</definedName>
    <definedName name="Sadler">'Std hull dropdown'!$CY$2:$CY$12</definedName>
    <definedName name="Salona">'Std hull dropdown'!$CZ$2:$CZ$12</definedName>
    <definedName name="SandS">'Std hull dropdown'!$CW$2:$CW$7</definedName>
    <definedName name="Santacruz">'Std hull dropdown'!$DA$2:$DA$4</definedName>
    <definedName name="Santana">'Std hull dropdown'!$DB$2</definedName>
    <definedName name="SC">'Std hull dropdown'!$DC$2:$DC$3</definedName>
    <definedName name="Scanmar">'Std hull dropdown'!$DD$2:$DD$3</definedName>
    <definedName name="Schock">'Std hull dropdown'!$DE$2:$DE$3</definedName>
    <definedName name="Seam">'Std hull dropdown'!$DF$2:$DF$3</definedName>
    <definedName name="Seaquest">'Std hull dropdown'!$DG$2:$DG$5</definedName>
    <definedName name="Shamrock">'Std hull dropdown'!$DH$2:$DH$5</definedName>
    <definedName name="She">'Std hull dropdown'!$DI$2:$DI$4</definedName>
    <definedName name="Shipman">'Std hull dropdown'!$DJ$2:$DJ$3</definedName>
    <definedName name="Sigma">'Std hull dropdown'!$DK$2:$DK$9</definedName>
    <definedName name="SO_" localSheetId="19">'Sail Plan calc'!$B$24</definedName>
    <definedName name="Soto">'Std hull dropdown'!$DL$2:$DL$3</definedName>
    <definedName name="Southerly">'Std hull dropdown'!$DM$2:$DM$7</definedName>
    <definedName name="Spirit">'Std hull dropdown'!$DN$2:$DN$7</definedName>
    <definedName name="SpreaderNb_" localSheetId="19">'Sail Plan calc'!$B$41</definedName>
    <definedName name="SR">'Std hull dropdown'!$DO$2:$DO$3</definedName>
    <definedName name="Stadt">'Std hull dropdown'!$DP$2:$DP$3</definedName>
    <definedName name="Standfast">'Std hull dropdown'!$DQ$2:$DQ$4</definedName>
    <definedName name="Starlight">'Std hull dropdown'!$DR$2:$DR$6</definedName>
    <definedName name="STL_" localSheetId="19">'Sail Plan calc'!$B$40</definedName>
    <definedName name="Summit">'Std hull dropdown'!$DS$2:$DS$4</definedName>
    <definedName name="Swan">'Std hull dropdown'!$DT$2:$DT$57</definedName>
    <definedName name="Swarbrick">'Std hull dropdown'!$DU$2:$DU$5</definedName>
    <definedName name="Swedenyachts">'Std hull dropdown'!$DV$2:$DV$12</definedName>
    <definedName name="Sydney">'Std hull dropdown'!$DW$2:$DW$16</definedName>
    <definedName name="Tartan">'Std hull dropdown'!$DY$2:$DY$10</definedName>
    <definedName name="Taylor">'Std hull dropdown'!$DZ$2:$DZ$5</definedName>
    <definedName name="Thompson">'Std hull dropdown'!$EA$2:$EA$6</definedName>
    <definedName name="Trapper">'Std hull dropdown'!$EB$2:$EB$8</definedName>
    <definedName name="Tripp">'Std hull dropdown'!$EC$2:$EC$4</definedName>
    <definedName name="Tyachts">'Std hull dropdown'!$DX$2:$DX$3</definedName>
    <definedName name="UFO">'Std hull dropdown'!$ED$2:$ED$5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dropdown'!$EE$2:$EE$3</definedName>
    <definedName name="Westerly">'Std hull dropdown'!$EF$2:$EF$20</definedName>
    <definedName name="WSA">'[2]RM '!$M$9</definedName>
    <definedName name="WSA_">#REF!</definedName>
    <definedName name="x_" localSheetId="19">'Sail Plan calc'!$B$22</definedName>
    <definedName name="Xyachts">'Std hull dropdown'!$EG$2:$EG$63</definedName>
    <definedName name="Y_" localSheetId="19">'Sail Plan calc'!$B$25</definedName>
    <definedName name="Yamaha">'Std hull dropdown'!$EH$2:$EH$9</definedName>
    <definedName name="Young">'Std hull dropdown'!$EI$2:$EI$5</definedName>
  </definedNames>
  <calcPr calcId="171027"/>
</workbook>
</file>

<file path=xl/calcChain.xml><?xml version="1.0" encoding="utf-8"?>
<calcChain xmlns="http://schemas.openxmlformats.org/spreadsheetml/2006/main">
  <c r="B290" i="1" l="1"/>
  <c r="C247" i="1" l="1"/>
  <c r="C11" i="4" l="1"/>
  <c r="EP2" i="2"/>
  <c r="GP2" i="3" s="1"/>
  <c r="G172" i="1"/>
  <c r="A11" i="9"/>
  <c r="EO2" i="2"/>
  <c r="GO2" i="3" s="1"/>
  <c r="EN2" i="2"/>
  <c r="GN2" i="3" s="1"/>
  <c r="C81" i="4"/>
  <c r="B81" i="4"/>
  <c r="AD3" i="2"/>
  <c r="FM2" i="3" s="1"/>
  <c r="C12" i="4"/>
  <c r="B33" i="4"/>
  <c r="DQ2" i="2"/>
  <c r="CL2" i="3" s="1"/>
  <c r="B101" i="4"/>
  <c r="B99" i="4"/>
  <c r="B98" i="4"/>
  <c r="C1520" i="21"/>
  <c r="D43" i="1" s="1"/>
  <c r="C25" i="4" s="1"/>
  <c r="B95" i="4"/>
  <c r="B18" i="4"/>
  <c r="DO5" i="2"/>
  <c r="DO6" i="2"/>
  <c r="CT7" i="2"/>
  <c r="CT8" i="2"/>
  <c r="CT12" i="2"/>
  <c r="CT3" i="2" s="1"/>
  <c r="BP2" i="3" s="1"/>
  <c r="A1" i="13"/>
  <c r="D1" i="13" s="1"/>
  <c r="B213" i="1" s="1"/>
  <c r="A1" i="14"/>
  <c r="R10" i="14" s="1"/>
  <c r="B342" i="1" s="1"/>
  <c r="A1" i="10"/>
  <c r="V15" i="10" s="1"/>
  <c r="G166" i="1" s="1"/>
  <c r="F34" i="4"/>
  <c r="B34" i="4" s="1"/>
  <c r="CM11" i="2"/>
  <c r="CM12" i="2"/>
  <c r="CM13" i="2"/>
  <c r="CM14" i="2"/>
  <c r="CM15" i="2"/>
  <c r="CM16" i="2"/>
  <c r="CM17" i="2"/>
  <c r="D66" i="4"/>
  <c r="C66" i="4"/>
  <c r="D64" i="4"/>
  <c r="C64" i="4"/>
  <c r="B66" i="4"/>
  <c r="B64" i="4"/>
  <c r="EB2" i="2"/>
  <c r="BR3" i="2"/>
  <c r="DK2" i="3" s="1"/>
  <c r="EF2" i="2"/>
  <c r="GC2" i="3" s="1"/>
  <c r="EA2" i="2"/>
  <c r="FX2" i="3" s="1"/>
  <c r="EG2" i="2"/>
  <c r="GD2" i="3" s="1"/>
  <c r="ER2" i="2"/>
  <c r="GM2" i="3" s="1"/>
  <c r="EQ2" i="2"/>
  <c r="GL2" i="3" s="1"/>
  <c r="A1" i="12"/>
  <c r="F21" i="12" s="1"/>
  <c r="B208" i="1" s="1"/>
  <c r="B28" i="22"/>
  <c r="B29" i="22"/>
  <c r="B34" i="22"/>
  <c r="B33" i="22"/>
  <c r="B111" i="22" s="1"/>
  <c r="B38" i="22" s="1"/>
  <c r="B37" i="22"/>
  <c r="B36" i="22"/>
  <c r="B35" i="22"/>
  <c r="F44" i="22"/>
  <c r="F53" i="22"/>
  <c r="C73" i="22" s="1"/>
  <c r="B32" i="22"/>
  <c r="B31" i="22"/>
  <c r="B27" i="22"/>
  <c r="B40" i="22"/>
  <c r="E316" i="1"/>
  <c r="B39" i="22"/>
  <c r="F195" i="22" s="1"/>
  <c r="B41" i="22"/>
  <c r="B30" i="22"/>
  <c r="B26" i="22"/>
  <c r="B22" i="22"/>
  <c r="B23" i="22"/>
  <c r="B24" i="22"/>
  <c r="B25" i="22"/>
  <c r="B21" i="22"/>
  <c r="F163" i="22"/>
  <c r="F164" i="22"/>
  <c r="B60" i="22"/>
  <c r="B93" i="22"/>
  <c r="F174" i="22"/>
  <c r="C64" i="22"/>
  <c r="F105" i="22"/>
  <c r="F113" i="22"/>
  <c r="B91" i="22"/>
  <c r="A1" i="8"/>
  <c r="K12" i="8" s="1"/>
  <c r="H8" i="1" s="1"/>
  <c r="A1" i="9"/>
  <c r="G1" i="9" s="1"/>
  <c r="B12" i="1" s="1"/>
  <c r="A1" i="11"/>
  <c r="O21" i="11" s="1"/>
  <c r="E112" i="1" s="1"/>
  <c r="E116" i="1" s="1"/>
  <c r="GK2" i="3"/>
  <c r="F103" i="1"/>
  <c r="C365" i="1"/>
  <c r="F99" i="1"/>
  <c r="F50" i="1"/>
  <c r="B5" i="4" s="1"/>
  <c r="F55" i="1"/>
  <c r="F58" i="1"/>
  <c r="F56" i="1"/>
  <c r="F54" i="1"/>
  <c r="G51" i="1"/>
  <c r="G48" i="1"/>
  <c r="F44" i="1"/>
  <c r="F45" i="1"/>
  <c r="F46" i="1"/>
  <c r="F47" i="1"/>
  <c r="B87" i="4"/>
  <c r="B86" i="4"/>
  <c r="CO9" i="2"/>
  <c r="CO10" i="2"/>
  <c r="CO8" i="2"/>
  <c r="CO3" i="2" s="1"/>
  <c r="DH2" i="3" s="1"/>
  <c r="CO11" i="2"/>
  <c r="CO12" i="2"/>
  <c r="G85" i="4"/>
  <c r="C93" i="4" s="1"/>
  <c r="F28" i="4"/>
  <c r="B36" i="4" s="1"/>
  <c r="B37" i="4"/>
  <c r="B85" i="4"/>
  <c r="B65" i="4"/>
  <c r="H98" i="1"/>
  <c r="AY11" i="2"/>
  <c r="AY10" i="2"/>
  <c r="AY9" i="2"/>
  <c r="AZ37" i="2"/>
  <c r="AZ39" i="2"/>
  <c r="AV7" i="2"/>
  <c r="AV8" i="2"/>
  <c r="AV9" i="2"/>
  <c r="AV10" i="2"/>
  <c r="AV11" i="2"/>
  <c r="AY12" i="2"/>
  <c r="A2" i="18"/>
  <c r="AR2" i="18" s="1"/>
  <c r="AR1" i="18" s="1"/>
  <c r="A48" i="18" s="1"/>
  <c r="A31" i="17"/>
  <c r="A33" i="17" s="1"/>
  <c r="A32" i="17"/>
  <c r="A3" i="16"/>
  <c r="AA3" i="16" s="1"/>
  <c r="AA1" i="16" s="1"/>
  <c r="E37" i="16" s="1"/>
  <c r="A37" i="16"/>
  <c r="A38" i="16"/>
  <c r="A39" i="16" s="1"/>
  <c r="CW2" i="2" s="1"/>
  <c r="I3" i="3" s="1"/>
  <c r="J6" i="15"/>
  <c r="N6" i="15"/>
  <c r="R6" i="15"/>
  <c r="V6" i="15"/>
  <c r="J7" i="15"/>
  <c r="N7" i="15"/>
  <c r="R7" i="15"/>
  <c r="V7" i="15"/>
  <c r="J8" i="15"/>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8" i="15"/>
  <c r="R8" i="15"/>
  <c r="R9" i="15" s="1"/>
  <c r="R10" i="15"/>
  <c r="R11" i="15" s="1"/>
  <c r="R12" i="15" s="1"/>
  <c r="R13" i="15" s="1"/>
  <c r="R14" i="15"/>
  <c r="R15" i="15" s="1"/>
  <c r="R16" i="15" s="1"/>
  <c r="R17" i="15" s="1"/>
  <c r="R18" i="15" s="1"/>
  <c r="R19" i="15" s="1"/>
  <c r="R20" i="15" s="1"/>
  <c r="R21" i="15" s="1"/>
  <c r="R22" i="15" s="1"/>
  <c r="R23" i="15" s="1"/>
  <c r="R24" i="15" s="1"/>
  <c r="V8" i="15"/>
  <c r="V9" i="15"/>
  <c r="V10" i="15" s="1"/>
  <c r="V11" i="15"/>
  <c r="V12" i="15" s="1"/>
  <c r="R28" i="15"/>
  <c r="R29" i="15" s="1"/>
  <c r="R30" i="15"/>
  <c r="R31" i="15" s="1"/>
  <c r="R32" i="15" s="1"/>
  <c r="R33" i="15" s="1"/>
  <c r="R34" i="15" s="1"/>
  <c r="R35" i="15" s="1"/>
  <c r="R36" i="15" s="1"/>
  <c r="R37" i="15" s="1"/>
  <c r="R38" i="15" s="1"/>
  <c r="R39" i="15" s="1"/>
  <c r="R40" i="15" s="1"/>
  <c r="R41" i="15" s="1"/>
  <c r="R42" i="15" s="1"/>
  <c r="R43" i="15" s="1"/>
  <c r="E5" i="15" s="1"/>
  <c r="E6" i="15" s="1"/>
  <c r="A10" i="14"/>
  <c r="A20" i="14"/>
  <c r="A30" i="14"/>
  <c r="A40" i="14"/>
  <c r="A50" i="14"/>
  <c r="A60" i="14"/>
  <c r="A70" i="14"/>
  <c r="A80" i="14"/>
  <c r="A90" i="14"/>
  <c r="A100" i="14"/>
  <c r="A111" i="14"/>
  <c r="A15" i="13"/>
  <c r="A27" i="13"/>
  <c r="A38" i="13"/>
  <c r="A11" i="12"/>
  <c r="A21" i="12"/>
  <c r="A31" i="12"/>
  <c r="CV2" i="2"/>
  <c r="CS2" i="3" s="1"/>
  <c r="DV2" i="2"/>
  <c r="FS2" i="3" s="1"/>
  <c r="DW12" i="2"/>
  <c r="DW13" i="2"/>
  <c r="DX2" i="2"/>
  <c r="FU2" i="3" s="1"/>
  <c r="DY2" i="2"/>
  <c r="FV2" i="3" s="1"/>
  <c r="DZ2" i="2"/>
  <c r="FW2" i="3" s="1"/>
  <c r="EC2" i="2"/>
  <c r="FZ2" i="3" s="1"/>
  <c r="EE2" i="2"/>
  <c r="GB2" i="3" s="1"/>
  <c r="EF5" i="2"/>
  <c r="EH2" i="2"/>
  <c r="GE2" i="3" s="1"/>
  <c r="EI2" i="2"/>
  <c r="GF2" i="3" s="1"/>
  <c r="EJ2" i="2"/>
  <c r="GG2" i="3" s="1"/>
  <c r="EK2" i="2"/>
  <c r="GH2" i="3" s="1"/>
  <c r="EL2" i="2"/>
  <c r="GJ2" i="3" s="1"/>
  <c r="B3" i="2"/>
  <c r="M2" i="3" s="1"/>
  <c r="C3" i="2"/>
  <c r="L2" i="3" s="1"/>
  <c r="E3" i="2"/>
  <c r="FR2" i="3" s="1"/>
  <c r="F3" i="2"/>
  <c r="FD2" i="3" s="1"/>
  <c r="G3" i="2"/>
  <c r="Q2" i="3" s="1"/>
  <c r="H3" i="2"/>
  <c r="AM2" i="3" s="1"/>
  <c r="I3" i="2"/>
  <c r="O2" i="3" s="1"/>
  <c r="J3" i="2"/>
  <c r="FE2" i="3" s="1"/>
  <c r="K3" i="2"/>
  <c r="A2" i="3" s="1"/>
  <c r="L3" i="2"/>
  <c r="FF2" i="3" s="1"/>
  <c r="M3" i="2"/>
  <c r="B2" i="3" s="1"/>
  <c r="N3" i="2"/>
  <c r="C2" i="3" s="1"/>
  <c r="O3" i="2"/>
  <c r="D2" i="3" s="1"/>
  <c r="P3" i="2"/>
  <c r="F2" i="3" s="1"/>
  <c r="R3" i="2"/>
  <c r="E2" i="3" s="1"/>
  <c r="S3" i="2"/>
  <c r="G2" i="3" s="1"/>
  <c r="T3" i="2"/>
  <c r="U3" i="2"/>
  <c r="EV2" i="3" s="1"/>
  <c r="V3" i="2"/>
  <c r="CR2" i="3" s="1"/>
  <c r="W3" i="2"/>
  <c r="BY2" i="3" s="1"/>
  <c r="X3" i="2"/>
  <c r="FG2" i="3" s="1"/>
  <c r="Y3" i="2"/>
  <c r="FH2" i="3" s="1"/>
  <c r="Z3" i="2"/>
  <c r="FI2" i="3" s="1"/>
  <c r="AA8" i="2"/>
  <c r="AA3" i="2" s="1"/>
  <c r="FJ2" i="3" s="1"/>
  <c r="AB3" i="2"/>
  <c r="FK2" i="3" s="1"/>
  <c r="AC3" i="2"/>
  <c r="FL2" i="3" s="1"/>
  <c r="AE3" i="2"/>
  <c r="FN2" i="3" s="1"/>
  <c r="AF3" i="2"/>
  <c r="FO2" i="3" s="1"/>
  <c r="AG3" i="2"/>
  <c r="FP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A41" i="2"/>
  <c r="BA3" i="2" s="1"/>
  <c r="AN2" i="3" s="1"/>
  <c r="BB3" i="2"/>
  <c r="AO2" i="3" s="1"/>
  <c r="BC3" i="2"/>
  <c r="DQ2" i="3" s="1"/>
  <c r="BD3" i="2"/>
  <c r="U2" i="3" s="1"/>
  <c r="BE3" i="2"/>
  <c r="W2" i="3" s="1"/>
  <c r="BF3" i="2"/>
  <c r="AZ2" i="3" s="1"/>
  <c r="BG3" i="2"/>
  <c r="BA2" i="3" s="1"/>
  <c r="BH3" i="2"/>
  <c r="BB2" i="3" s="1"/>
  <c r="BI3" i="2"/>
  <c r="AL2" i="3" s="1"/>
  <c r="BJ3" i="2"/>
  <c r="BI2" i="3" s="1"/>
  <c r="BK3" i="2"/>
  <c r="BJ2" i="3" s="1"/>
  <c r="BL3" i="2"/>
  <c r="BK2" i="3" s="1"/>
  <c r="BM3" i="2"/>
  <c r="BE2" i="3" s="1"/>
  <c r="BN10" i="2"/>
  <c r="D379" i="1"/>
  <c r="F112" i="1" s="1"/>
  <c r="CD10" i="2" s="1"/>
  <c r="D383" i="1"/>
  <c r="F116" i="1"/>
  <c r="F65" i="4" s="1"/>
  <c r="B72" i="4" s="1"/>
  <c r="BO3" i="2"/>
  <c r="DN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14" i="2"/>
  <c r="CE3" i="2"/>
  <c r="BM2" i="3" s="1"/>
  <c r="CF3" i="2"/>
  <c r="BN2" i="3" s="1"/>
  <c r="CG8" i="2"/>
  <c r="CG3" i="2" s="1"/>
  <c r="BQ2" i="3" s="1"/>
  <c r="CH3" i="2"/>
  <c r="BR2" i="3" s="1"/>
  <c r="CI3" i="2"/>
  <c r="BT2" i="3" s="1"/>
  <c r="CJ3" i="2"/>
  <c r="BS2" i="3" s="1"/>
  <c r="BZ2" i="3"/>
  <c r="CL3" i="2"/>
  <c r="CV2" i="3" s="1"/>
  <c r="CN3" i="2"/>
  <c r="CW2" i="3" s="1"/>
  <c r="CP3" i="2"/>
  <c r="S2" i="3" s="1"/>
  <c r="CQ3" i="2"/>
  <c r="BX2" i="3" s="1"/>
  <c r="CR3" i="2"/>
  <c r="X2" i="3" s="1"/>
  <c r="CS3" i="2"/>
  <c r="BO2" i="3" s="1"/>
  <c r="DZ4" i="2"/>
  <c r="DZ6" i="2"/>
  <c r="DZ7" i="2"/>
  <c r="V8" i="2"/>
  <c r="DZ8" i="2"/>
  <c r="DZ9" i="2"/>
  <c r="V10" i="2"/>
  <c r="V11" i="2"/>
  <c r="V12" i="2"/>
  <c r="V13" i="2"/>
  <c r="DZ14" i="2"/>
  <c r="V18" i="2"/>
  <c r="BA42" i="2"/>
  <c r="BA43" i="2"/>
  <c r="BA44" i="2"/>
  <c r="J2" i="3"/>
  <c r="K2" i="3"/>
  <c r="R2" i="3"/>
  <c r="T2" i="3"/>
  <c r="AE2" i="3"/>
  <c r="AG2" i="3"/>
  <c r="AH2" i="3"/>
  <c r="AK2" i="3"/>
  <c r="AT2" i="3"/>
  <c r="CA2" i="3"/>
  <c r="CB2" i="3"/>
  <c r="CD2" i="3"/>
  <c r="CI2" i="3"/>
  <c r="CK2" i="3"/>
  <c r="CM2" i="3"/>
  <c r="CN2" i="3"/>
  <c r="CO2" i="3"/>
  <c r="CP2" i="3"/>
  <c r="DG2" i="3"/>
  <c r="DR2" i="3"/>
  <c r="EZ2" i="3"/>
  <c r="FA2" i="3"/>
  <c r="FB2" i="3"/>
  <c r="FC2" i="3"/>
  <c r="FQ2" i="3"/>
  <c r="GA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B57" i="4" s="1"/>
  <c r="G36" i="4"/>
  <c r="C56" i="4" s="1"/>
  <c r="C37" i="4"/>
  <c r="D37" i="4"/>
  <c r="B45" i="4"/>
  <c r="C45" i="4"/>
  <c r="D45" i="4"/>
  <c r="B46" i="4"/>
  <c r="C46" i="4"/>
  <c r="D46" i="4"/>
  <c r="B49" i="4"/>
  <c r="B50" i="4"/>
  <c r="B51" i="4"/>
  <c r="B52" i="4"/>
  <c r="F56" i="4"/>
  <c r="C63" i="4" s="1"/>
  <c r="G56" i="4"/>
  <c r="D63" i="4" s="1"/>
  <c r="B53" i="4"/>
  <c r="C53" i="4"/>
  <c r="D53" i="4"/>
  <c r="B54" i="4"/>
  <c r="B60" i="4"/>
  <c r="C60" i="4"/>
  <c r="D60" i="4"/>
  <c r="B61" i="4"/>
  <c r="C61" i="4"/>
  <c r="D61" i="4"/>
  <c r="D62" i="4"/>
  <c r="B63" i="4"/>
  <c r="F64" i="4"/>
  <c r="B71" i="4" s="1"/>
  <c r="C65" i="4"/>
  <c r="D65" i="4"/>
  <c r="F66" i="4"/>
  <c r="B73" i="4" s="1"/>
  <c r="B67" i="4"/>
  <c r="C67" i="4"/>
  <c r="D67" i="4"/>
  <c r="B68" i="4"/>
  <c r="C68" i="4"/>
  <c r="D68" i="4"/>
  <c r="B69" i="4"/>
  <c r="C69" i="4"/>
  <c r="D69" i="4"/>
  <c r="C71" i="4"/>
  <c r="C73" i="4"/>
  <c r="B75" i="4"/>
  <c r="B78" i="4"/>
  <c r="B79" i="4"/>
  <c r="F79" i="4"/>
  <c r="D85" i="4" s="1"/>
  <c r="B80" i="4"/>
  <c r="C80" i="4"/>
  <c r="B82" i="4"/>
  <c r="B83" i="4"/>
  <c r="B84" i="4"/>
  <c r="F85" i="4"/>
  <c r="B88" i="4"/>
  <c r="B90" i="4"/>
  <c r="B91" i="4"/>
  <c r="B94" i="4"/>
  <c r="B93" i="4"/>
  <c r="B97" i="4"/>
  <c r="B100" i="4"/>
  <c r="B103" i="4"/>
  <c r="B104" i="4"/>
  <c r="B105" i="4"/>
  <c r="H113" i="1"/>
  <c r="G107" i="1"/>
  <c r="H112" i="1"/>
  <c r="H116" i="1"/>
  <c r="G120" i="1"/>
  <c r="F248" i="1"/>
  <c r="F249" i="1"/>
  <c r="C363" i="1"/>
  <c r="B59" i="22"/>
  <c r="L48" i="10"/>
  <c r="G69" i="1" s="1"/>
  <c r="G48" i="10"/>
  <c r="M38" i="10"/>
  <c r="H22" i="1" s="1"/>
  <c r="Q1" i="11"/>
  <c r="Q1" i="9"/>
  <c r="D14" i="1" s="1"/>
  <c r="U1" i="9"/>
  <c r="E13" i="1" s="1"/>
  <c r="M1" i="9"/>
  <c r="B33" i="1" s="1"/>
  <c r="R1" i="9"/>
  <c r="B14" i="1" s="1"/>
  <c r="K1" i="9"/>
  <c r="B15" i="1" s="1"/>
  <c r="J1" i="9"/>
  <c r="D15" i="1" s="1"/>
  <c r="E1" i="9"/>
  <c r="B161" i="1" s="1"/>
  <c r="H100" i="14"/>
  <c r="B497" i="1" s="1"/>
  <c r="S1" i="9"/>
  <c r="B35" i="1" s="1"/>
  <c r="V1" i="9"/>
  <c r="E37" i="1" s="1"/>
  <c r="F63" i="4"/>
  <c r="B70" i="4" s="1"/>
  <c r="L1" i="9"/>
  <c r="B32" i="1" s="1"/>
  <c r="F1" i="9"/>
  <c r="B199" i="1" s="1"/>
  <c r="N1" i="9"/>
  <c r="B34" i="1" s="1"/>
  <c r="A34" i="17"/>
  <c r="N10" i="14" l="1"/>
  <c r="B338" i="1" s="1"/>
  <c r="F100" i="14"/>
  <c r="B492" i="1" s="1"/>
  <c r="F60" i="14"/>
  <c r="B434" i="1" s="1"/>
  <c r="J70" i="14"/>
  <c r="B456" i="1" s="1"/>
  <c r="Y1" i="9"/>
  <c r="O10" i="14"/>
  <c r="B339" i="1" s="1"/>
  <c r="G50" i="14"/>
  <c r="B411" i="1" s="1"/>
  <c r="BN11" i="2"/>
  <c r="BN3" i="2" s="1"/>
  <c r="J100" i="14"/>
  <c r="B516" i="1" s="1"/>
  <c r="G100" i="14"/>
  <c r="B493" i="1" s="1"/>
  <c r="G40" i="14"/>
  <c r="B390" i="1" s="1"/>
  <c r="Q1" i="14"/>
  <c r="B318" i="1" s="1"/>
  <c r="F90" i="14"/>
  <c r="B478" i="1" s="1"/>
  <c r="Q80" i="14"/>
  <c r="B472" i="1" s="1"/>
  <c r="L20" i="14"/>
  <c r="B356" i="1" s="1"/>
  <c r="T50" i="14"/>
  <c r="B422" i="1" s="1"/>
  <c r="F111" i="14"/>
  <c r="B503" i="1" s="1"/>
  <c r="N30" i="14"/>
  <c r="B373" i="1" s="1"/>
  <c r="D100" i="14"/>
  <c r="B490" i="1" s="1"/>
  <c r="G10" i="14"/>
  <c r="B325" i="1" s="1"/>
  <c r="J80" i="14"/>
  <c r="B465" i="1" s="1"/>
  <c r="N40" i="14"/>
  <c r="B398" i="1" s="1"/>
  <c r="P80" i="14"/>
  <c r="B471" i="1" s="1"/>
  <c r="J50" i="14"/>
  <c r="B414" i="1" s="1"/>
  <c r="E1" i="14"/>
  <c r="B304" i="1" s="1"/>
  <c r="L10" i="14"/>
  <c r="B329" i="1" s="1"/>
  <c r="L50" i="14"/>
  <c r="B416" i="1" s="1"/>
  <c r="S10" i="14"/>
  <c r="B343" i="1" s="1"/>
  <c r="D10" i="14"/>
  <c r="B321" i="1" s="1"/>
  <c r="N60" i="14"/>
  <c r="B442" i="1" s="1"/>
  <c r="E51" i="11"/>
  <c r="BE2" i="18"/>
  <c r="BE1" i="18" s="1"/>
  <c r="A61" i="18" s="1"/>
  <c r="F31" i="11"/>
  <c r="E129" i="1" s="1"/>
  <c r="M1" i="11"/>
  <c r="B91" i="1" s="1"/>
  <c r="CD15" i="2"/>
  <c r="E31" i="11"/>
  <c r="B129" i="1" s="1"/>
  <c r="D41" i="11"/>
  <c r="B137" i="1" s="1"/>
  <c r="CG2" i="18"/>
  <c r="CG1" i="18" s="1"/>
  <c r="A89" i="18" s="1"/>
  <c r="D1" i="9"/>
  <c r="B10" i="1" s="1"/>
  <c r="I1" i="10"/>
  <c r="G66" i="1" s="1"/>
  <c r="O1" i="9"/>
  <c r="P1" i="9"/>
  <c r="B37" i="1" s="1"/>
  <c r="I1" i="9"/>
  <c r="X1" i="9"/>
  <c r="B31" i="1" s="1"/>
  <c r="H1" i="9"/>
  <c r="B13" i="1" s="1"/>
  <c r="D11" i="9"/>
  <c r="B17" i="1" s="1"/>
  <c r="F15" i="10"/>
  <c r="F41" i="1" s="1"/>
  <c r="F186" i="22"/>
  <c r="C99" i="22" s="1"/>
  <c r="E11" i="9"/>
  <c r="B19" i="1" s="1"/>
  <c r="W1" i="9"/>
  <c r="E14" i="1" s="1"/>
  <c r="F11" i="9"/>
  <c r="T1" i="9"/>
  <c r="B36" i="1" s="1"/>
  <c r="J1" i="10"/>
  <c r="K61" i="11"/>
  <c r="N21" i="11"/>
  <c r="D11" i="11"/>
  <c r="B97" i="1" s="1"/>
  <c r="Y2" i="18"/>
  <c r="Y1" i="18" s="1"/>
  <c r="A30" i="18" s="1"/>
  <c r="G21" i="11"/>
  <c r="B112" i="1" s="1"/>
  <c r="N41" i="11"/>
  <c r="B150" i="1" s="1"/>
  <c r="F182" i="22"/>
  <c r="C97" i="22" s="1"/>
  <c r="AL2" i="18"/>
  <c r="AL1" i="18" s="1"/>
  <c r="A42" i="18" s="1"/>
  <c r="G51" i="11"/>
  <c r="B134" i="1" s="1"/>
  <c r="L41" i="11"/>
  <c r="AA2" i="18"/>
  <c r="AA1" i="18" s="1"/>
  <c r="A32" i="18" s="1"/>
  <c r="H16" i="13"/>
  <c r="Q1" i="12"/>
  <c r="D194" i="1" s="1"/>
  <c r="BN2" i="18"/>
  <c r="BN1" i="18" s="1"/>
  <c r="A70" i="18" s="1"/>
  <c r="AY29" i="2"/>
  <c r="J51" i="11"/>
  <c r="B181" i="1" s="1"/>
  <c r="M61" i="11"/>
  <c r="B95" i="1" s="1"/>
  <c r="G61" i="11"/>
  <c r="H97" i="1" s="1"/>
  <c r="AG2" i="18"/>
  <c r="AG1" i="18" s="1"/>
  <c r="A38" i="18" s="1"/>
  <c r="DO8" i="2"/>
  <c r="DO2" i="2" s="1"/>
  <c r="CJ2" i="3" s="1"/>
  <c r="O1" i="11"/>
  <c r="E41" i="11"/>
  <c r="B138" i="1" s="1"/>
  <c r="L21" i="11"/>
  <c r="J21" i="12"/>
  <c r="AK2" i="18"/>
  <c r="AK1" i="18" s="1"/>
  <c r="A41" i="18" s="1"/>
  <c r="L1" i="13"/>
  <c r="K28" i="13"/>
  <c r="M11" i="11"/>
  <c r="H99" i="1" s="1"/>
  <c r="F178" i="22"/>
  <c r="C96" i="22" s="1"/>
  <c r="I41" i="11"/>
  <c r="K2" i="18"/>
  <c r="K1" i="18" s="1"/>
  <c r="A16" i="18" s="1"/>
  <c r="N1" i="11"/>
  <c r="B118" i="1" s="1"/>
  <c r="P1" i="13"/>
  <c r="F222" i="1" s="1"/>
  <c r="BV2" i="18"/>
  <c r="BV1" i="18" s="1"/>
  <c r="A78" i="18" s="1"/>
  <c r="K15" i="13"/>
  <c r="S15" i="13"/>
  <c r="CW2" i="18"/>
  <c r="CW1" i="18" s="1"/>
  <c r="A105" i="18" s="1"/>
  <c r="BJ2" i="18"/>
  <c r="BJ1" i="18" s="1"/>
  <c r="A66" i="18" s="1"/>
  <c r="CT2" i="18"/>
  <c r="CT1" i="18" s="1"/>
  <c r="A102" i="18" s="1"/>
  <c r="M21" i="11"/>
  <c r="P11" i="11"/>
  <c r="B107" i="1" s="1"/>
  <c r="D31" i="11"/>
  <c r="B94" i="1" s="1"/>
  <c r="CS2" i="18"/>
  <c r="CS1" i="18" s="1"/>
  <c r="A101" i="18" s="1"/>
  <c r="Z2" i="18"/>
  <c r="Z1" i="18" s="1"/>
  <c r="A31" i="18" s="1"/>
  <c r="CV2" i="18"/>
  <c r="CV1" i="18" s="1"/>
  <c r="A104" i="18" s="1"/>
  <c r="E31" i="12"/>
  <c r="BO2" i="18"/>
  <c r="BO1" i="18" s="1"/>
  <c r="A71" i="18" s="1"/>
  <c r="AI2" i="18"/>
  <c r="AI1" i="18" s="1"/>
  <c r="A39" i="18" s="1"/>
  <c r="F183" i="22"/>
  <c r="C98" i="22" s="1"/>
  <c r="D21" i="11"/>
  <c r="B109" i="1" s="1"/>
  <c r="I1" i="12"/>
  <c r="K41" i="11"/>
  <c r="B123" i="1" s="1"/>
  <c r="DI2" i="18"/>
  <c r="DI1" i="18" s="1"/>
  <c r="A117" i="18" s="1"/>
  <c r="T21" i="11"/>
  <c r="B182" i="1" s="1"/>
  <c r="H27" i="13"/>
  <c r="J27" i="13"/>
  <c r="F1" i="13"/>
  <c r="B215" i="1" s="1"/>
  <c r="L27" i="13"/>
  <c r="B495" i="1" s="1"/>
  <c r="B255" i="1" s="1"/>
  <c r="J28" i="13"/>
  <c r="O27" i="13"/>
  <c r="D28" i="13"/>
  <c r="D27" i="13" s="1"/>
  <c r="C32" i="1"/>
  <c r="F181" i="22"/>
  <c r="B98" i="22" s="1"/>
  <c r="I21" i="12"/>
  <c r="B226" i="1" s="1"/>
  <c r="T1" i="12"/>
  <c r="F192" i="1" s="1"/>
  <c r="FY2" i="3"/>
  <c r="H31" i="12"/>
  <c r="G21" i="12"/>
  <c r="E208" i="1" s="1"/>
  <c r="F19" i="22"/>
  <c r="T2" i="18"/>
  <c r="T1" i="18" s="1"/>
  <c r="A25" i="18" s="1"/>
  <c r="BM2" i="18"/>
  <c r="BM1" i="18" s="1"/>
  <c r="A69" i="18" s="1"/>
  <c r="AE2" i="18"/>
  <c r="AE1" i="18" s="1"/>
  <c r="A36" i="18" s="1"/>
  <c r="P15" i="13"/>
  <c r="J1" i="13"/>
  <c r="B219" i="1" s="1"/>
  <c r="P27" i="13"/>
  <c r="K38" i="13"/>
  <c r="F27" i="13"/>
  <c r="G249" i="1" s="1"/>
  <c r="U15" i="13"/>
  <c r="E232" i="1" s="1"/>
  <c r="R1" i="13"/>
  <c r="G28" i="13"/>
  <c r="R15" i="13"/>
  <c r="K1" i="13"/>
  <c r="B220" i="1" s="1"/>
  <c r="T15" i="13"/>
  <c r="B231" i="1" s="1"/>
  <c r="S1" i="12"/>
  <c r="D195" i="1" s="1"/>
  <c r="F1" i="12"/>
  <c r="D146" i="1" s="1"/>
  <c r="D1" i="12"/>
  <c r="S16" i="13"/>
  <c r="F180" i="22"/>
  <c r="B97" i="22" s="1"/>
  <c r="K31" i="12"/>
  <c r="R27" i="13"/>
  <c r="M16" i="13"/>
  <c r="P16" i="13"/>
  <c r="N16" i="13"/>
  <c r="N27" i="13"/>
  <c r="I31" i="12"/>
  <c r="F184" i="22"/>
  <c r="B99" i="22" s="1"/>
  <c r="K27" i="13"/>
  <c r="H15" i="13"/>
  <c r="O1" i="13"/>
  <c r="B225" i="1" s="1"/>
  <c r="T1" i="13"/>
  <c r="B229" i="1" s="1"/>
  <c r="S1" i="13"/>
  <c r="B227" i="1" s="1"/>
  <c r="C49" i="4"/>
  <c r="F187" i="22"/>
  <c r="C100" i="22" s="1"/>
  <c r="H1" i="12"/>
  <c r="B148" i="1" s="1"/>
  <c r="G1" i="12"/>
  <c r="B147" i="1" s="1"/>
  <c r="K11" i="12"/>
  <c r="B153" i="1" s="1"/>
  <c r="S6" i="22"/>
  <c r="N2" i="18"/>
  <c r="N1" i="18" s="1"/>
  <c r="A19" i="18" s="1"/>
  <c r="BC2" i="18"/>
  <c r="BC1" i="18" s="1"/>
  <c r="A59" i="18" s="1"/>
  <c r="F194" i="22"/>
  <c r="F196" i="22" s="1"/>
  <c r="F218" i="22" s="1"/>
  <c r="G38" i="13"/>
  <c r="I1" i="13"/>
  <c r="B218" i="1" s="1"/>
  <c r="G1" i="13"/>
  <c r="B216" i="1" s="1"/>
  <c r="O16" i="13"/>
  <c r="I38" i="13"/>
  <c r="B156" i="1" s="1"/>
  <c r="E27" i="13"/>
  <c r="G248" i="1" s="1"/>
  <c r="E15" i="13"/>
  <c r="B232" i="1" s="1"/>
  <c r="M1" i="13"/>
  <c r="B222" i="1" s="1"/>
  <c r="I15" i="13"/>
  <c r="E38" i="13"/>
  <c r="J2" i="18"/>
  <c r="J1" i="18" s="1"/>
  <c r="A15" i="18" s="1"/>
  <c r="M27" i="13"/>
  <c r="B259" i="1" s="1"/>
  <c r="F15" i="13"/>
  <c r="D31" i="12"/>
  <c r="B254" i="1" s="1"/>
  <c r="B20" i="22"/>
  <c r="F160" i="22" s="1"/>
  <c r="B92" i="22" s="1"/>
  <c r="E11" i="12"/>
  <c r="B185" i="1" s="1"/>
  <c r="D15" i="13"/>
  <c r="B230" i="1" s="1"/>
  <c r="H38" i="13"/>
  <c r="H120" i="1" s="1"/>
  <c r="G27" i="13"/>
  <c r="D22" i="4"/>
  <c r="F176" i="22"/>
  <c r="B96" i="22" s="1"/>
  <c r="F175" i="22"/>
  <c r="B95" i="22" s="1"/>
  <c r="L31" i="12"/>
  <c r="F189" i="22"/>
  <c r="B101" i="22" s="1"/>
  <c r="D21" i="12"/>
  <c r="B204" i="1" s="1"/>
  <c r="F191" i="22"/>
  <c r="C101" i="22" s="1"/>
  <c r="F185" i="22"/>
  <c r="B100" i="22" s="1"/>
  <c r="AT2" i="18"/>
  <c r="AT1" i="18" s="1"/>
  <c r="A50" i="18" s="1"/>
  <c r="AC2" i="18"/>
  <c r="AC1" i="18" s="1"/>
  <c r="A34" i="18" s="1"/>
  <c r="J31" i="12"/>
  <c r="I28" i="13"/>
  <c r="K16" i="13"/>
  <c r="E1" i="13"/>
  <c r="B214" i="1" s="1"/>
  <c r="Q27" i="13"/>
  <c r="D38" i="13"/>
  <c r="L15" i="13"/>
  <c r="U1" i="13"/>
  <c r="B223" i="1" s="1"/>
  <c r="Q1" i="13"/>
  <c r="F223" i="1" s="1"/>
  <c r="J15" i="13"/>
  <c r="O15" i="13"/>
  <c r="BA2" i="18"/>
  <c r="BA1" i="18" s="1"/>
  <c r="A57" i="18" s="1"/>
  <c r="F21" i="22"/>
  <c r="F45" i="22" s="1"/>
  <c r="F61" i="22" s="1"/>
  <c r="F62" i="22" s="1"/>
  <c r="F11" i="12"/>
  <c r="H1" i="13"/>
  <c r="B217" i="1" s="1"/>
  <c r="J11" i="12"/>
  <c r="B152" i="1" s="1"/>
  <c r="N1" i="13"/>
  <c r="B224" i="1" s="1"/>
  <c r="F192" i="22"/>
  <c r="C102" i="22" s="1"/>
  <c r="I11" i="12"/>
  <c r="E187" i="1" s="1"/>
  <c r="H21" i="12"/>
  <c r="E209" i="1" s="1"/>
  <c r="G31" i="12"/>
  <c r="P1" i="12"/>
  <c r="B194" i="1" s="1"/>
  <c r="Q16" i="13"/>
  <c r="Q15" i="13"/>
  <c r="M15" i="13"/>
  <c r="F33" i="4"/>
  <c r="C51" i="4" s="1"/>
  <c r="F177" i="22"/>
  <c r="C95" i="22" s="1"/>
  <c r="F190" i="22"/>
  <c r="B102" i="22" s="1"/>
  <c r="D11" i="12"/>
  <c r="K21" i="12"/>
  <c r="B201" i="1" s="1"/>
  <c r="AW2" i="18"/>
  <c r="AW1" i="18" s="1"/>
  <c r="A53" i="18" s="1"/>
  <c r="BW2" i="18"/>
  <c r="BW1" i="18" s="1"/>
  <c r="A79" i="18" s="1"/>
  <c r="F38" i="13"/>
  <c r="L16" i="13"/>
  <c r="J38" i="13"/>
  <c r="N15" i="13"/>
  <c r="H28" i="13"/>
  <c r="AV2" i="18"/>
  <c r="AV1" i="18" s="1"/>
  <c r="A52" i="18" s="1"/>
  <c r="S27" i="13"/>
  <c r="I27" i="13"/>
  <c r="G15" i="13"/>
  <c r="I2" i="3"/>
  <c r="U38" i="10"/>
  <c r="C80" i="1" s="1"/>
  <c r="W38" i="10"/>
  <c r="C81" i="1" s="1"/>
  <c r="G1" i="10"/>
  <c r="B66" i="1" s="1"/>
  <c r="Y38" i="10"/>
  <c r="B175" i="1" s="1"/>
  <c r="V38" i="10"/>
  <c r="C79" i="1" s="1"/>
  <c r="K38" i="10"/>
  <c r="B21" i="1" s="1"/>
  <c r="F20" i="22"/>
  <c r="K1" i="10"/>
  <c r="B71" i="1" s="1"/>
  <c r="T38" i="10"/>
  <c r="D15" i="10"/>
  <c r="B41" i="1" s="1"/>
  <c r="O38" i="10"/>
  <c r="B24" i="1" s="1"/>
  <c r="E1" i="10"/>
  <c r="B62" i="1" s="1"/>
  <c r="F38" i="10"/>
  <c r="G67" i="1" s="1"/>
  <c r="S1" i="10"/>
  <c r="F60" i="1" s="1"/>
  <c r="I48" i="10"/>
  <c r="B170" i="1" s="1"/>
  <c r="K28" i="10"/>
  <c r="B68" i="1" s="1"/>
  <c r="W15" i="10"/>
  <c r="E28" i="10"/>
  <c r="B55" i="1" s="1"/>
  <c r="G38" i="10"/>
  <c r="B65" i="1" s="1"/>
  <c r="B56" i="4"/>
  <c r="D37" i="1"/>
  <c r="T1" i="10"/>
  <c r="G28" i="10"/>
  <c r="M31" i="11"/>
  <c r="B133" i="1" s="1"/>
  <c r="G31" i="11"/>
  <c r="B130" i="1" s="1"/>
  <c r="H51" i="11"/>
  <c r="E84" i="1" s="1"/>
  <c r="K1" i="11"/>
  <c r="B89" i="1" s="1"/>
  <c r="L1" i="11"/>
  <c r="B90" i="1" s="1"/>
  <c r="P21" i="11"/>
  <c r="G99" i="1" s="1"/>
  <c r="G11" i="11"/>
  <c r="B100" i="1" s="1"/>
  <c r="F11" i="11"/>
  <c r="B99" i="1" s="1"/>
  <c r="R41" i="11"/>
  <c r="K11" i="11"/>
  <c r="B105" i="1" s="1"/>
  <c r="M41" i="11"/>
  <c r="J61" i="11"/>
  <c r="H41" i="11"/>
  <c r="B122" i="1" s="1"/>
  <c r="N15" i="10"/>
  <c r="C50" i="1" s="1"/>
  <c r="L15" i="10"/>
  <c r="B49" i="1" s="1"/>
  <c r="V28" i="10"/>
  <c r="F172" i="1" s="1"/>
  <c r="U28" i="10"/>
  <c r="X38" i="10"/>
  <c r="B174" i="1" s="1"/>
  <c r="R38" i="10"/>
  <c r="B29" i="1" s="1"/>
  <c r="F48" i="10"/>
  <c r="X15" i="10"/>
  <c r="B81" i="1" s="1"/>
  <c r="P38" i="10"/>
  <c r="B26" i="1" s="1"/>
  <c r="D38" i="10"/>
  <c r="Q28" i="10"/>
  <c r="B168" i="1" s="1"/>
  <c r="U15" i="10"/>
  <c r="B166" i="1" s="1"/>
  <c r="O15" i="10"/>
  <c r="C51" i="1" s="1"/>
  <c r="Y15" i="10"/>
  <c r="C78" i="1" s="1"/>
  <c r="D1" i="10"/>
  <c r="B18" i="1" s="1"/>
  <c r="H15" i="10"/>
  <c r="B43" i="1" s="1"/>
  <c r="Q38" i="10"/>
  <c r="B28" i="1" s="1"/>
  <c r="S38" i="10"/>
  <c r="O28" i="10"/>
  <c r="E52" i="1" s="1"/>
  <c r="J15" i="10"/>
  <c r="B45" i="1" s="1"/>
  <c r="N11" i="11"/>
  <c r="E99" i="1" s="1"/>
  <c r="P41" i="11"/>
  <c r="G123" i="1" s="1"/>
  <c r="E21" i="11"/>
  <c r="B110" i="1" s="1"/>
  <c r="H31" i="11"/>
  <c r="B131" i="1" s="1"/>
  <c r="O31" i="11"/>
  <c r="R31" i="11"/>
  <c r="T11" i="11"/>
  <c r="K48" i="10"/>
  <c r="B40" i="1" s="1"/>
  <c r="Q41" i="11"/>
  <c r="F49" i="22"/>
  <c r="F51" i="22" s="1"/>
  <c r="F55" i="22" s="1"/>
  <c r="C74" i="22" s="1"/>
  <c r="E48" i="10"/>
  <c r="B171" i="1" s="1"/>
  <c r="Q15" i="10"/>
  <c r="B51" i="1" s="1"/>
  <c r="R21" i="11"/>
  <c r="F1" i="11"/>
  <c r="C85" i="1" s="1"/>
  <c r="H21" i="11"/>
  <c r="B113" i="1" s="1"/>
  <c r="I31" i="11"/>
  <c r="B132" i="1" s="1"/>
  <c r="N51" i="11"/>
  <c r="B143" i="1" s="1"/>
  <c r="P31" i="11"/>
  <c r="G135" i="1" s="1"/>
  <c r="D51" i="11"/>
  <c r="S11" i="11"/>
  <c r="E11" i="11"/>
  <c r="B98" i="1" s="1"/>
  <c r="F51" i="11"/>
  <c r="H107" i="1" s="1"/>
  <c r="J41" i="11"/>
  <c r="G122" i="1" s="1"/>
  <c r="F41" i="11"/>
  <c r="B120" i="1" s="1"/>
  <c r="E1" i="11"/>
  <c r="B127" i="1" s="1"/>
  <c r="F21" i="11"/>
  <c r="B111" i="1" s="1"/>
  <c r="O11" i="11"/>
  <c r="H61" i="11"/>
  <c r="H96" i="1" s="1"/>
  <c r="D61" i="11"/>
  <c r="I11" i="11"/>
  <c r="B102" i="1" s="1"/>
  <c r="O51" i="11"/>
  <c r="B144" i="1" s="1"/>
  <c r="EW2" i="3"/>
  <c r="Q1" i="10"/>
  <c r="H48" i="10"/>
  <c r="B75" i="1" s="1"/>
  <c r="M15" i="10"/>
  <c r="E49" i="1" s="1"/>
  <c r="F1" i="10"/>
  <c r="B64" i="1" s="1"/>
  <c r="P28" i="10"/>
  <c r="B70" i="1" s="1"/>
  <c r="N38" i="10"/>
  <c r="B22" i="1" s="1"/>
  <c r="J38" i="10"/>
  <c r="R1" i="10"/>
  <c r="B60" i="1" s="1"/>
  <c r="K15" i="10"/>
  <c r="E48" i="1" s="1"/>
  <c r="I15" i="10"/>
  <c r="B44" i="1" s="1"/>
  <c r="U1" i="10"/>
  <c r="B162" i="1" s="1"/>
  <c r="L38" i="10"/>
  <c r="E15" i="10"/>
  <c r="C41" i="1" s="1"/>
  <c r="F28" i="10"/>
  <c r="C56" i="1" s="1"/>
  <c r="S28" i="10"/>
  <c r="L28" i="10"/>
  <c r="G68" i="1" s="1"/>
  <c r="P1" i="10"/>
  <c r="C163" i="1" s="1"/>
  <c r="D48" i="10"/>
  <c r="B56" i="1" s="1"/>
  <c r="T28" i="10"/>
  <c r="B172" i="1" s="1"/>
  <c r="J48" i="10"/>
  <c r="S15" i="10"/>
  <c r="B53" i="1" s="1"/>
  <c r="T15" i="10"/>
  <c r="E53" i="1" s="1"/>
  <c r="F61" i="11"/>
  <c r="M51" i="11"/>
  <c r="B142" i="1" s="1"/>
  <c r="S21" i="11"/>
  <c r="B183" i="1" s="1"/>
  <c r="J1" i="11"/>
  <c r="B88" i="1" s="1"/>
  <c r="I61" i="11"/>
  <c r="G41" i="11"/>
  <c r="B125" i="1" s="1"/>
  <c r="J31" i="11"/>
  <c r="G1" i="11"/>
  <c r="B179" i="1" s="1"/>
  <c r="J21" i="11"/>
  <c r="B115" i="1" s="1"/>
  <c r="I51" i="11"/>
  <c r="B180" i="1" s="1"/>
  <c r="AY30" i="2"/>
  <c r="M1" i="10"/>
  <c r="B73" i="1" s="1"/>
  <c r="H1" i="11"/>
  <c r="G85" i="1" s="1"/>
  <c r="R11" i="11"/>
  <c r="E108" i="1" s="1"/>
  <c r="T31" i="11"/>
  <c r="I21" i="11"/>
  <c r="B114" i="1" s="1"/>
  <c r="H11" i="11"/>
  <c r="B101" i="1" s="1"/>
  <c r="Q11" i="11"/>
  <c r="E107" i="1" s="1"/>
  <c r="K21" i="11"/>
  <c r="B116" i="1" s="1"/>
  <c r="P1" i="11"/>
  <c r="B92" i="1" s="1"/>
  <c r="L11" i="11"/>
  <c r="B106" i="1" s="1"/>
  <c r="L61" i="11"/>
  <c r="D1" i="11"/>
  <c r="L31" i="11"/>
  <c r="E132" i="1" s="1"/>
  <c r="I38" i="10"/>
  <c r="H28" i="10"/>
  <c r="B58" i="1" s="1"/>
  <c r="N1" i="10"/>
  <c r="B74" i="1" s="1"/>
  <c r="I28" i="10"/>
  <c r="P15" i="10"/>
  <c r="B50" i="1" s="1"/>
  <c r="H38" i="10"/>
  <c r="Y28" i="10"/>
  <c r="R28" i="10"/>
  <c r="B169" i="1" s="1"/>
  <c r="G15" i="10"/>
  <c r="N28" i="10"/>
  <c r="B52" i="1" s="1"/>
  <c r="H1" i="10"/>
  <c r="B67" i="1" s="1"/>
  <c r="D28" i="10"/>
  <c r="B54" i="1" s="1"/>
  <c r="E38" i="10"/>
  <c r="M28" i="10"/>
  <c r="B69" i="1" s="1"/>
  <c r="X28" i="10"/>
  <c r="B165" i="1" s="1"/>
  <c r="W28" i="10"/>
  <c r="C54" i="1" s="1"/>
  <c r="J28" i="10"/>
  <c r="O1" i="10"/>
  <c r="L1" i="10"/>
  <c r="B72" i="1" s="1"/>
  <c r="R15" i="10"/>
  <c r="E51" i="1" s="1"/>
  <c r="Q31" i="11"/>
  <c r="Q21" i="11"/>
  <c r="K31" i="11"/>
  <c r="E131" i="1" s="1"/>
  <c r="I1" i="11"/>
  <c r="B87" i="1" s="1"/>
  <c r="J11" i="11"/>
  <c r="B104" i="1" s="1"/>
  <c r="E61" i="11"/>
  <c r="L51" i="11"/>
  <c r="B121" i="1" s="1"/>
  <c r="O41" i="11"/>
  <c r="E150" i="1" s="1"/>
  <c r="N31" i="11"/>
  <c r="B135" i="1" s="1"/>
  <c r="K51" i="11"/>
  <c r="B96" i="1" s="1"/>
  <c r="CD21" i="2"/>
  <c r="CD19" i="2"/>
  <c r="CD20" i="2"/>
  <c r="CD22" i="2"/>
  <c r="H1" i="8"/>
  <c r="J1" i="8"/>
  <c r="S1" i="8"/>
  <c r="E1" i="8"/>
  <c r="T1" i="8"/>
  <c r="C95" i="4"/>
  <c r="D79" i="4"/>
  <c r="D49" i="1"/>
  <c r="C27" i="4" s="1"/>
  <c r="AI3" i="2"/>
  <c r="Y2" i="3" s="1"/>
  <c r="G3" i="16"/>
  <c r="G1" i="16" s="1"/>
  <c r="E17" i="16" s="1"/>
  <c r="J3" i="16"/>
  <c r="J1" i="16" s="1"/>
  <c r="E20" i="16" s="1"/>
  <c r="C22" i="4"/>
  <c r="F24" i="4"/>
  <c r="C30" i="4" s="1"/>
  <c r="B289" i="1"/>
  <c r="B291" i="1" s="1"/>
  <c r="F247" i="1" s="1"/>
  <c r="D25" i="4"/>
  <c r="D49" i="4"/>
  <c r="G24" i="4"/>
  <c r="D30" i="4" s="1"/>
  <c r="G33" i="4"/>
  <c r="D51" i="4" s="1"/>
  <c r="B21" i="4"/>
  <c r="CD26" i="2"/>
  <c r="CD28" i="2"/>
  <c r="CD27" i="2"/>
  <c r="CD25" i="2"/>
  <c r="D50" i="14"/>
  <c r="B407" i="1" s="1"/>
  <c r="N50" i="14"/>
  <c r="B418" i="1" s="1"/>
  <c r="F50" i="14"/>
  <c r="B409" i="1" s="1"/>
  <c r="Z50" i="14"/>
  <c r="B429" i="1" s="1"/>
  <c r="Q10" i="14"/>
  <c r="B341" i="1" s="1"/>
  <c r="M90" i="14"/>
  <c r="B488" i="1" s="1"/>
  <c r="P60" i="14"/>
  <c r="B444" i="1" s="1"/>
  <c r="L1" i="14"/>
  <c r="B311" i="1" s="1"/>
  <c r="O20" i="14"/>
  <c r="B359" i="1" s="1"/>
  <c r="I40" i="14"/>
  <c r="B392" i="1" s="1"/>
  <c r="K100" i="14"/>
  <c r="B518" i="1" s="1"/>
  <c r="E50" i="14"/>
  <c r="B408" i="1" s="1"/>
  <c r="I90" i="14"/>
  <c r="B484" i="1" s="1"/>
  <c r="M80" i="14"/>
  <c r="B468" i="1" s="1"/>
  <c r="K10" i="14"/>
  <c r="B328" i="1" s="1"/>
  <c r="H50" i="14"/>
  <c r="B412" i="1" s="1"/>
  <c r="S50" i="14"/>
  <c r="B421" i="1" s="1"/>
  <c r="K20" i="14"/>
  <c r="B355" i="1" s="1"/>
  <c r="I50" i="14"/>
  <c r="B413" i="1" s="1"/>
  <c r="L80" i="14"/>
  <c r="B467" i="1" s="1"/>
  <c r="O80" i="14"/>
  <c r="B470" i="1" s="1"/>
  <c r="L40" i="14"/>
  <c r="B396" i="1" s="1"/>
  <c r="I100" i="14"/>
  <c r="B498" i="1" s="1"/>
  <c r="Y50" i="14"/>
  <c r="B428" i="1" s="1"/>
  <c r="Q30" i="14"/>
  <c r="B380" i="1" s="1"/>
  <c r="P40" i="14"/>
  <c r="B402" i="1" s="1"/>
  <c r="F70" i="14"/>
  <c r="B451" i="1" s="1"/>
  <c r="J40" i="14"/>
  <c r="B394" i="1" s="1"/>
  <c r="G60" i="14"/>
  <c r="B435" i="1" s="1"/>
  <c r="U50" i="14"/>
  <c r="B424" i="1" s="1"/>
  <c r="I80" i="14"/>
  <c r="B464" i="1" s="1"/>
  <c r="D70" i="14"/>
  <c r="B449" i="1" s="1"/>
  <c r="Q40" i="14"/>
  <c r="B403" i="1" s="1"/>
  <c r="E60" i="14"/>
  <c r="B433" i="1" s="1"/>
  <c r="G90" i="14"/>
  <c r="B482" i="1" s="1"/>
  <c r="O40" i="14"/>
  <c r="B399" i="1" s="1"/>
  <c r="D40" i="14"/>
  <c r="B384" i="1" s="1"/>
  <c r="W50" i="14"/>
  <c r="B426" i="1" s="1"/>
  <c r="M20" i="14"/>
  <c r="B357" i="1" s="1"/>
  <c r="N20" i="14"/>
  <c r="B358" i="1" s="1"/>
  <c r="D80" i="14"/>
  <c r="B459" i="1" s="1"/>
  <c r="S30" i="14"/>
  <c r="B382" i="1" s="1"/>
  <c r="H1" i="14"/>
  <c r="B307" i="1" s="1"/>
  <c r="N1" i="14"/>
  <c r="B315" i="1" s="1"/>
  <c r="J1" i="14"/>
  <c r="B309" i="1" s="1"/>
  <c r="H111" i="14"/>
  <c r="F40" i="14"/>
  <c r="B389" i="1" s="1"/>
  <c r="O1" i="14"/>
  <c r="B316" i="1" s="1"/>
  <c r="G30" i="14"/>
  <c r="B365" i="1" s="1"/>
  <c r="K1" i="14"/>
  <c r="B310" i="1" s="1"/>
  <c r="E30" i="14"/>
  <c r="B363" i="1" s="1"/>
  <c r="O30" i="14"/>
  <c r="B376" i="1" s="1"/>
  <c r="F80" i="14"/>
  <c r="B461" i="1" s="1"/>
  <c r="D90" i="14"/>
  <c r="B475" i="1" s="1"/>
  <c r="M30" i="14"/>
  <c r="B372" i="1" s="1"/>
  <c r="G111" i="14"/>
  <c r="B504" i="1" s="1"/>
  <c r="J10" i="14"/>
  <c r="B327" i="1" s="1"/>
  <c r="M10" i="14"/>
  <c r="B330" i="1" s="1"/>
  <c r="E80" i="14"/>
  <c r="B460" i="1" s="1"/>
  <c r="H40" i="14"/>
  <c r="B391" i="1" s="1"/>
  <c r="M60" i="14"/>
  <c r="B441" i="1" s="1"/>
  <c r="H90" i="14"/>
  <c r="B483" i="1" s="1"/>
  <c r="K80" i="14"/>
  <c r="B466" i="1" s="1"/>
  <c r="F20" i="14"/>
  <c r="B350" i="1" s="1"/>
  <c r="I30" i="14"/>
  <c r="B367" i="1" s="1"/>
  <c r="J60" i="14"/>
  <c r="B438" i="1" s="1"/>
  <c r="K50" i="14"/>
  <c r="B415" i="1" s="1"/>
  <c r="H60" i="14"/>
  <c r="B436" i="1" s="1"/>
  <c r="G1" i="14"/>
  <c r="B306" i="1" s="1"/>
  <c r="F1" i="14"/>
  <c r="B305" i="1" s="1"/>
  <c r="E100" i="14"/>
  <c r="B491" i="1" s="1"/>
  <c r="E20" i="14"/>
  <c r="B349" i="1" s="1"/>
  <c r="G80" i="14"/>
  <c r="B462" i="1" s="1"/>
  <c r="H80" i="14"/>
  <c r="B463" i="1" s="1"/>
  <c r="J90" i="14"/>
  <c r="B485" i="1" s="1"/>
  <c r="E10" i="14"/>
  <c r="B322" i="1" s="1"/>
  <c r="E111" i="14"/>
  <c r="B502" i="1" s="1"/>
  <c r="E70" i="14"/>
  <c r="B450" i="1" s="1"/>
  <c r="P30" i="14"/>
  <c r="B377" i="1" s="1"/>
  <c r="I20" i="14"/>
  <c r="B353" i="1" s="1"/>
  <c r="Q60" i="14"/>
  <c r="B445" i="1" s="1"/>
  <c r="I10" i="14"/>
  <c r="B326" i="1" s="1"/>
  <c r="R50" i="14"/>
  <c r="B420" i="1" s="1"/>
  <c r="T10" i="14"/>
  <c r="B344" i="1" s="1"/>
  <c r="M1" i="14"/>
  <c r="B314" i="1" s="1"/>
  <c r="G20" i="14"/>
  <c r="B351" i="1" s="1"/>
  <c r="G70" i="14"/>
  <c r="B452" i="1" s="1"/>
  <c r="L30" i="14"/>
  <c r="B371" i="1" s="1"/>
  <c r="H70" i="14"/>
  <c r="B454" i="1" s="1"/>
  <c r="N80" i="14"/>
  <c r="B469" i="1" s="1"/>
  <c r="I1" i="14"/>
  <c r="B308" i="1" s="1"/>
  <c r="P1" i="14"/>
  <c r="B317" i="1" s="1"/>
  <c r="F30" i="14"/>
  <c r="B364" i="1" s="1"/>
  <c r="M40" i="14"/>
  <c r="B397" i="1" s="1"/>
  <c r="P10" i="14"/>
  <c r="B340" i="1" s="1"/>
  <c r="K40" i="14"/>
  <c r="B393" i="1" s="1"/>
  <c r="I60" i="14"/>
  <c r="B437" i="1" s="1"/>
  <c r="H30" i="14"/>
  <c r="B366" i="1" s="1"/>
  <c r="I70" i="14"/>
  <c r="B455" i="1" s="1"/>
  <c r="H20" i="14"/>
  <c r="B352" i="1" s="1"/>
  <c r="D30" i="14"/>
  <c r="B362" i="1" s="1"/>
  <c r="H10" i="14"/>
  <c r="B323" i="1" s="1"/>
  <c r="D1" i="14"/>
  <c r="B431" i="1" s="1"/>
  <c r="J30" i="14"/>
  <c r="B368" i="1" s="1"/>
  <c r="V50" i="14"/>
  <c r="B425" i="1" s="1"/>
  <c r="K30" i="14"/>
  <c r="B369" i="1" s="1"/>
  <c r="E40" i="14"/>
  <c r="B385" i="1" s="1"/>
  <c r="L60" i="14"/>
  <c r="B440" i="1" s="1"/>
  <c r="F10" i="14"/>
  <c r="B324" i="1" s="1"/>
  <c r="R30" i="14"/>
  <c r="B381" i="1" s="1"/>
  <c r="L100" i="14"/>
  <c r="B517" i="1" s="1"/>
  <c r="U10" i="14"/>
  <c r="B345" i="1" s="1"/>
  <c r="D111" i="14"/>
  <c r="L90" i="14"/>
  <c r="B487" i="1" s="1"/>
  <c r="V10" i="14"/>
  <c r="B346" i="1" s="1"/>
  <c r="R1" i="14"/>
  <c r="B319" i="1" s="1"/>
  <c r="E90" i="14"/>
  <c r="B477" i="1" s="1"/>
  <c r="O60" i="14"/>
  <c r="B443" i="1" s="1"/>
  <c r="M50" i="14"/>
  <c r="B417" i="1" s="1"/>
  <c r="D20" i="14"/>
  <c r="B348" i="1" s="1"/>
  <c r="K90" i="14"/>
  <c r="B486" i="1" s="1"/>
  <c r="X50" i="14"/>
  <c r="B427" i="1" s="1"/>
  <c r="AH3" i="2"/>
  <c r="BU2" i="3" s="1"/>
  <c r="M12" i="8"/>
  <c r="G32" i="1" s="1"/>
  <c r="G1" i="8"/>
  <c r="P12" i="8"/>
  <c r="I12" i="8"/>
  <c r="L12" i="8"/>
  <c r="K1" i="8"/>
  <c r="F1" i="8"/>
  <c r="C3" i="1" s="1"/>
  <c r="W1" i="8"/>
  <c r="O12" i="8"/>
  <c r="G12" i="8"/>
  <c r="B6" i="1" s="1"/>
  <c r="N12" i="8"/>
  <c r="F33" i="1" s="1"/>
  <c r="O1" i="8"/>
  <c r="M1" i="8"/>
  <c r="B256" i="1" s="1"/>
  <c r="F12" i="8"/>
  <c r="I1" i="8"/>
  <c r="Y1" i="8"/>
  <c r="D1" i="8"/>
  <c r="E12" i="8"/>
  <c r="H12" i="8"/>
  <c r="D12" i="8"/>
  <c r="R1" i="8"/>
  <c r="Q1" i="8"/>
  <c r="L1" i="8"/>
  <c r="U1" i="8"/>
  <c r="N1" i="8"/>
  <c r="P1" i="8"/>
  <c r="B7" i="1" s="1"/>
  <c r="V1" i="8"/>
  <c r="X1" i="8"/>
  <c r="J12" i="8"/>
  <c r="H7" i="1" s="1"/>
  <c r="CM18" i="2"/>
  <c r="CM3" i="2" s="1"/>
  <c r="CX2" i="3" s="1"/>
  <c r="J20" i="14"/>
  <c r="B354" i="1" s="1"/>
  <c r="D60" i="14"/>
  <c r="B432" i="1" s="1"/>
  <c r="K60" i="14"/>
  <c r="B439" i="1" s="1"/>
  <c r="GI2" i="3"/>
  <c r="EU2" i="3"/>
  <c r="U1" i="12"/>
  <c r="F78" i="1" s="1"/>
  <c r="O1" i="12"/>
  <c r="D193" i="1" s="1"/>
  <c r="G11" i="12"/>
  <c r="B187" i="1" s="1"/>
  <c r="F31" i="12"/>
  <c r="B211" i="1" s="1"/>
  <c r="R1" i="12"/>
  <c r="B195" i="1" s="1"/>
  <c r="K1" i="12"/>
  <c r="F148" i="1" s="1"/>
  <c r="E21" i="12"/>
  <c r="B205" i="1" s="1"/>
  <c r="M1" i="12"/>
  <c r="B192" i="1" s="1"/>
  <c r="N1" i="12"/>
  <c r="B193" i="1" s="1"/>
  <c r="L1" i="12"/>
  <c r="B191" i="1" s="1"/>
  <c r="H11" i="12"/>
  <c r="J1" i="12"/>
  <c r="E1" i="12"/>
  <c r="B146" i="1" s="1"/>
  <c r="L21" i="12"/>
  <c r="DV2" i="18"/>
  <c r="DV1" i="18" s="1"/>
  <c r="A130" i="18" s="1"/>
  <c r="AO2" i="18"/>
  <c r="AO1" i="18" s="1"/>
  <c r="A45" i="18" s="1"/>
  <c r="AJ2" i="18"/>
  <c r="AJ1" i="18" s="1"/>
  <c r="A40" i="18" s="1"/>
  <c r="BD2" i="18"/>
  <c r="BD1" i="18" s="1"/>
  <c r="A60" i="18" s="1"/>
  <c r="O2" i="18"/>
  <c r="O1" i="18" s="1"/>
  <c r="A20" i="18" s="1"/>
  <c r="BB2" i="18"/>
  <c r="BB1" i="18" s="1"/>
  <c r="A58" i="18" s="1"/>
  <c r="CO2" i="18"/>
  <c r="CO1" i="18" s="1"/>
  <c r="A97" i="18" s="1"/>
  <c r="CH2" i="18"/>
  <c r="CH1" i="18" s="1"/>
  <c r="A90" i="18" s="1"/>
  <c r="W2" i="18"/>
  <c r="W1" i="18" s="1"/>
  <c r="A28" i="18" s="1"/>
  <c r="CY2" i="18"/>
  <c r="CY1" i="18" s="1"/>
  <c r="A107" i="18" s="1"/>
  <c r="DC2" i="18"/>
  <c r="DC1" i="18" s="1"/>
  <c r="A111" i="18" s="1"/>
  <c r="AX2" i="18"/>
  <c r="AX1" i="18" s="1"/>
  <c r="A54" i="18" s="1"/>
  <c r="DM2" i="18"/>
  <c r="DM1" i="18" s="1"/>
  <c r="A121" i="18" s="1"/>
  <c r="DH2" i="18"/>
  <c r="DH1" i="18" s="1"/>
  <c r="A116" i="18" s="1"/>
  <c r="BU2" i="18"/>
  <c r="BU1" i="18" s="1"/>
  <c r="A77" i="18" s="1"/>
  <c r="BQ2" i="18"/>
  <c r="BQ1" i="18" s="1"/>
  <c r="A73" i="18" s="1"/>
  <c r="BI2" i="18"/>
  <c r="BI1" i="18" s="1"/>
  <c r="A65" i="18" s="1"/>
  <c r="V2" i="18"/>
  <c r="V1" i="18" s="1"/>
  <c r="A27" i="18" s="1"/>
  <c r="BK2" i="18"/>
  <c r="BK1" i="18" s="1"/>
  <c r="A67" i="18" s="1"/>
  <c r="AB2" i="18"/>
  <c r="AB1" i="18" s="1"/>
  <c r="A33" i="18" s="1"/>
  <c r="DN2" i="18"/>
  <c r="DN1" i="18" s="1"/>
  <c r="A122" i="18" s="1"/>
  <c r="AQ2" i="18"/>
  <c r="AQ1" i="18" s="1"/>
  <c r="A47" i="18" s="1"/>
  <c r="CJ2" i="18"/>
  <c r="CJ1" i="18" s="1"/>
  <c r="A92" i="18" s="1"/>
  <c r="BH2" i="18"/>
  <c r="BH1" i="18" s="1"/>
  <c r="A64" i="18" s="1"/>
  <c r="DQ2" i="18"/>
  <c r="DQ1" i="18" s="1"/>
  <c r="A125" i="18" s="1"/>
  <c r="AF2" i="18"/>
  <c r="AF1" i="18" s="1"/>
  <c r="A37" i="18" s="1"/>
  <c r="AS2" i="18"/>
  <c r="AS1" i="18" s="1"/>
  <c r="A49" i="18" s="1"/>
  <c r="DO2" i="18"/>
  <c r="DO1" i="18" s="1"/>
  <c r="A123" i="18" s="1"/>
  <c r="AN2" i="18"/>
  <c r="AN1" i="18" s="1"/>
  <c r="A44" i="18" s="1"/>
  <c r="CF2" i="18"/>
  <c r="CF1" i="18" s="1"/>
  <c r="A88" i="18" s="1"/>
  <c r="BX2" i="18"/>
  <c r="BX1" i="18" s="1"/>
  <c r="A80" i="18" s="1"/>
  <c r="DW2" i="18"/>
  <c r="DW1" i="18" s="1"/>
  <c r="A131" i="18" s="1"/>
  <c r="CQ2" i="18"/>
  <c r="CQ1" i="18" s="1"/>
  <c r="A99" i="18" s="1"/>
  <c r="AD2" i="18"/>
  <c r="AD1" i="18" s="1"/>
  <c r="A35" i="18" s="1"/>
  <c r="F2" i="18"/>
  <c r="F1" i="18" s="1"/>
  <c r="A11" i="18" s="1"/>
  <c r="AY2" i="18"/>
  <c r="AY1" i="18" s="1"/>
  <c r="A55" i="18" s="1"/>
  <c r="CN2" i="18"/>
  <c r="CN1" i="18" s="1"/>
  <c r="A96" i="18" s="1"/>
  <c r="DE2" i="18"/>
  <c r="DE1" i="18" s="1"/>
  <c r="A113" i="18" s="1"/>
  <c r="L2" i="18"/>
  <c r="L1" i="18" s="1"/>
  <c r="A17" i="18" s="1"/>
  <c r="S2" i="18"/>
  <c r="S1" i="18" s="1"/>
  <c r="A24" i="18" s="1"/>
  <c r="DS2" i="18"/>
  <c r="DS1" i="18" s="1"/>
  <c r="A127" i="18" s="1"/>
  <c r="AH2" i="18"/>
  <c r="AH1" i="18" s="1"/>
  <c r="CZ2" i="18"/>
  <c r="CZ1" i="18" s="1"/>
  <c r="A108" i="18" s="1"/>
  <c r="CD2" i="18"/>
  <c r="CD1" i="18" s="1"/>
  <c r="A86" i="18" s="1"/>
  <c r="DT2" i="18"/>
  <c r="DT1" i="18" s="1"/>
  <c r="A128" i="18" s="1"/>
  <c r="BF2" i="18"/>
  <c r="BF1" i="18" s="1"/>
  <c r="A62" i="18" s="1"/>
  <c r="H2" i="18"/>
  <c r="H1" i="18" s="1"/>
  <c r="A13" i="18" s="1"/>
  <c r="DR2" i="18"/>
  <c r="DR1" i="18" s="1"/>
  <c r="A126" i="18" s="1"/>
  <c r="DL2" i="18"/>
  <c r="DL1" i="18" s="1"/>
  <c r="A120" i="18" s="1"/>
  <c r="CK2" i="18"/>
  <c r="CK1" i="18" s="1"/>
  <c r="A93" i="18" s="1"/>
  <c r="CR2" i="18"/>
  <c r="CR1" i="18" s="1"/>
  <c r="A100" i="18" s="1"/>
  <c r="DF2" i="18"/>
  <c r="DF1" i="18" s="1"/>
  <c r="A114" i="18" s="1"/>
  <c r="AZ2" i="18"/>
  <c r="AZ1" i="18" s="1"/>
  <c r="A56" i="18" s="1"/>
  <c r="BS2" i="18"/>
  <c r="BS1" i="18" s="1"/>
  <c r="A75" i="18" s="1"/>
  <c r="DD2" i="18"/>
  <c r="DD1" i="18" s="1"/>
  <c r="A112" i="18" s="1"/>
  <c r="CA2" i="18"/>
  <c r="CA1" i="18" s="1"/>
  <c r="A83" i="18" s="1"/>
  <c r="X2" i="18"/>
  <c r="X1" i="18" s="1"/>
  <c r="A29" i="18" s="1"/>
  <c r="P2" i="18"/>
  <c r="P1" i="18" s="1"/>
  <c r="A21" i="18" s="1"/>
  <c r="M2" i="18"/>
  <c r="M1" i="18" s="1"/>
  <c r="A18" i="18" s="1"/>
  <c r="EA2" i="18"/>
  <c r="EA1" i="18" s="1"/>
  <c r="A135" i="18" s="1"/>
  <c r="EB2" i="18"/>
  <c r="EB1" i="18" s="1"/>
  <c r="A136" i="18" s="1"/>
  <c r="AU2" i="18"/>
  <c r="AU1" i="18" s="1"/>
  <c r="A51" i="18" s="1"/>
  <c r="DY2" i="18"/>
  <c r="DY1" i="18" s="1"/>
  <c r="A133" i="18" s="1"/>
  <c r="CE2" i="18"/>
  <c r="CE1" i="18" s="1"/>
  <c r="A87" i="18" s="1"/>
  <c r="Q2" i="18"/>
  <c r="Q1" i="18" s="1"/>
  <c r="A22" i="18" s="1"/>
  <c r="R2" i="18"/>
  <c r="R1" i="18" s="1"/>
  <c r="A23" i="18" s="1"/>
  <c r="CC2" i="18"/>
  <c r="CC1" i="18" s="1"/>
  <c r="A85" i="18" s="1"/>
  <c r="DK2" i="18"/>
  <c r="DK1" i="18" s="1"/>
  <c r="A119" i="18" s="1"/>
  <c r="BY2" i="18"/>
  <c r="BY1" i="18" s="1"/>
  <c r="A81" i="18" s="1"/>
  <c r="DX2" i="18"/>
  <c r="DX1" i="18" s="1"/>
  <c r="A132" i="18" s="1"/>
  <c r="DZ2" i="18"/>
  <c r="DZ1" i="18" s="1"/>
  <c r="A134" i="18" s="1"/>
  <c r="AM2" i="18"/>
  <c r="AM1" i="18" s="1"/>
  <c r="A43" i="18" s="1"/>
  <c r="CU2" i="18"/>
  <c r="CU1" i="18" s="1"/>
  <c r="A103" i="18" s="1"/>
  <c r="CP2" i="18"/>
  <c r="CP1" i="18" s="1"/>
  <c r="A98" i="18" s="1"/>
  <c r="DU2" i="18"/>
  <c r="DU1" i="18" s="1"/>
  <c r="A129" i="18" s="1"/>
  <c r="DJ2" i="18"/>
  <c r="DJ1" i="18" s="1"/>
  <c r="A118" i="18" s="1"/>
  <c r="BL2" i="18"/>
  <c r="BL1" i="18" s="1"/>
  <c r="A68" i="18" s="1"/>
  <c r="BT2" i="18"/>
  <c r="BT1" i="18" s="1"/>
  <c r="A76" i="18" s="1"/>
  <c r="CX2" i="18"/>
  <c r="CX1" i="18" s="1"/>
  <c r="A106" i="18" s="1"/>
  <c r="DB2" i="18"/>
  <c r="DB1" i="18" s="1"/>
  <c r="A110" i="18" s="1"/>
  <c r="CB2" i="18"/>
  <c r="CB1" i="18" s="1"/>
  <c r="A84" i="18" s="1"/>
  <c r="BZ2" i="18"/>
  <c r="BZ1" i="18" s="1"/>
  <c r="A82" i="18" s="1"/>
  <c r="AP2" i="18"/>
  <c r="AP1" i="18" s="1"/>
  <c r="A46" i="18" s="1"/>
  <c r="CI2" i="18"/>
  <c r="CI1" i="18" s="1"/>
  <c r="A91" i="18" s="1"/>
  <c r="G2" i="18"/>
  <c r="G1" i="18" s="1"/>
  <c r="A12" i="18" s="1"/>
  <c r="U2" i="18"/>
  <c r="U1" i="18" s="1"/>
  <c r="A26" i="18" s="1"/>
  <c r="DG2" i="18"/>
  <c r="DG1" i="18" s="1"/>
  <c r="A115" i="18" s="1"/>
  <c r="CM2" i="18"/>
  <c r="CM1" i="18" s="1"/>
  <c r="A95" i="18" s="1"/>
  <c r="I2" i="18"/>
  <c r="I1" i="18" s="1"/>
  <c r="A14" i="18" s="1"/>
  <c r="BP2" i="18"/>
  <c r="BP1" i="18" s="1"/>
  <c r="A72" i="18" s="1"/>
  <c r="BR2" i="18"/>
  <c r="BR1" i="18" s="1"/>
  <c r="A74" i="18" s="1"/>
  <c r="CL2" i="18"/>
  <c r="CL1" i="18" s="1"/>
  <c r="A94" i="18" s="1"/>
  <c r="DA2" i="18"/>
  <c r="DA1" i="18" s="1"/>
  <c r="A109" i="18" s="1"/>
  <c r="DP2" i="18"/>
  <c r="DP1" i="18" s="1"/>
  <c r="A124" i="18" s="1"/>
  <c r="BG2" i="18"/>
  <c r="BG1" i="18" s="1"/>
  <c r="A63" i="18" s="1"/>
  <c r="AY33" i="2"/>
  <c r="AY28" i="2"/>
  <c r="DW2" i="2"/>
  <c r="FT2" i="3" s="1"/>
  <c r="AV3" i="2"/>
  <c r="V2" i="3" s="1"/>
  <c r="F167" i="22"/>
  <c r="B61" i="22" s="1"/>
  <c r="CT10" i="2"/>
  <c r="CT11" i="2" s="1"/>
  <c r="W3" i="16"/>
  <c r="W1" i="16" s="1"/>
  <c r="E33" i="16" s="1"/>
  <c r="Q3" i="2"/>
  <c r="ET2" i="3" s="1"/>
  <c r="V3" i="16"/>
  <c r="V1" i="16" s="1"/>
  <c r="E32" i="16" s="1"/>
  <c r="N3" i="16"/>
  <c r="N1" i="16" s="1"/>
  <c r="E24" i="16" s="1"/>
  <c r="F3" i="16"/>
  <c r="F1" i="16" s="1"/>
  <c r="E16" i="16" s="1"/>
  <c r="AN3" i="16"/>
  <c r="AN1" i="16" s="1"/>
  <c r="E50" i="16" s="1"/>
  <c r="M3" i="16"/>
  <c r="M1" i="16" s="1"/>
  <c r="E23" i="16" s="1"/>
  <c r="Z3" i="16"/>
  <c r="Z1" i="16" s="1"/>
  <c r="E36" i="16" s="1"/>
  <c r="AQ3" i="16"/>
  <c r="AQ1" i="16" s="1"/>
  <c r="E53" i="16" s="1"/>
  <c r="AT3" i="16"/>
  <c r="AT1" i="16" s="1"/>
  <c r="E56" i="16" s="1"/>
  <c r="AO3" i="16"/>
  <c r="AO1" i="16" s="1"/>
  <c r="E51" i="16" s="1"/>
  <c r="K3" i="16"/>
  <c r="K1" i="16" s="1"/>
  <c r="E21" i="16" s="1"/>
  <c r="AD3" i="16"/>
  <c r="AD1" i="16" s="1"/>
  <c r="E40" i="16" s="1"/>
  <c r="AP3" i="16"/>
  <c r="AP1" i="16" s="1"/>
  <c r="E52" i="16" s="1"/>
  <c r="H3" i="16"/>
  <c r="H1" i="16" s="1"/>
  <c r="E18" i="16" s="1"/>
  <c r="AC3" i="16"/>
  <c r="AC1" i="16" s="1"/>
  <c r="E39" i="16" s="1"/>
  <c r="U3" i="16"/>
  <c r="U1" i="16" s="1"/>
  <c r="E31" i="16" s="1"/>
  <c r="O3" i="16"/>
  <c r="O1" i="16" s="1"/>
  <c r="E25" i="16" s="1"/>
  <c r="E3" i="16"/>
  <c r="S3" i="16"/>
  <c r="S1" i="16" s="1"/>
  <c r="E29" i="16" s="1"/>
  <c r="I3" i="16"/>
  <c r="I1" i="16" s="1"/>
  <c r="E19" i="16" s="1"/>
  <c r="AF3" i="16"/>
  <c r="AF1" i="16" s="1"/>
  <c r="E42" i="16" s="1"/>
  <c r="AI3" i="16"/>
  <c r="AI1" i="16" s="1"/>
  <c r="E45" i="16" s="1"/>
  <c r="AL3" i="16"/>
  <c r="AL1" i="16" s="1"/>
  <c r="E48" i="16" s="1"/>
  <c r="AS3" i="16"/>
  <c r="AS1" i="16" s="1"/>
  <c r="E55" i="16" s="1"/>
  <c r="X3" i="16"/>
  <c r="X1" i="16" s="1"/>
  <c r="E34" i="16" s="1"/>
  <c r="AG3" i="16"/>
  <c r="AG1" i="16" s="1"/>
  <c r="E43" i="16" s="1"/>
  <c r="R3" i="16"/>
  <c r="R1" i="16" s="1"/>
  <c r="E28" i="16" s="1"/>
  <c r="Q3" i="16"/>
  <c r="Q1" i="16" s="1"/>
  <c r="E27" i="16" s="1"/>
  <c r="AJ3" i="16"/>
  <c r="AJ1" i="16" s="1"/>
  <c r="E46" i="16" s="1"/>
  <c r="T3" i="16"/>
  <c r="T1" i="16" s="1"/>
  <c r="E30" i="16" s="1"/>
  <c r="AH3" i="16"/>
  <c r="AH1" i="16" s="1"/>
  <c r="E44" i="16" s="1"/>
  <c r="Y3" i="16"/>
  <c r="Y1" i="16" s="1"/>
  <c r="E35" i="16" s="1"/>
  <c r="P3" i="16"/>
  <c r="P1" i="16" s="1"/>
  <c r="E26" i="16" s="1"/>
  <c r="AK3" i="16"/>
  <c r="AK1" i="16" s="1"/>
  <c r="E47" i="16" s="1"/>
  <c r="AE3" i="16"/>
  <c r="AE1" i="16" s="1"/>
  <c r="E41" i="16" s="1"/>
  <c r="AR3" i="16"/>
  <c r="AR1" i="16" s="1"/>
  <c r="E54" i="16" s="1"/>
  <c r="AZ3" i="2"/>
  <c r="AV2" i="3" s="1"/>
  <c r="AB3" i="16"/>
  <c r="AB1" i="16" s="1"/>
  <c r="E38" i="16" s="1"/>
  <c r="AM3" i="16"/>
  <c r="AM1" i="16" s="1"/>
  <c r="E49" i="16" s="1"/>
  <c r="L3" i="16"/>
  <c r="L1" i="16" s="1"/>
  <c r="E22" i="16" s="1"/>
  <c r="DI2" i="3"/>
  <c r="D74" i="4"/>
  <c r="B499" i="1" l="1"/>
  <c r="B39" i="1"/>
  <c r="AO3" i="2"/>
  <c r="Z2" i="3" s="1"/>
  <c r="F205" i="22"/>
  <c r="F203" i="22"/>
  <c r="F28" i="22"/>
  <c r="F29" i="22" s="1"/>
  <c r="F161" i="22" s="1"/>
  <c r="F162" i="22" s="1"/>
  <c r="C92" i="22" s="1"/>
  <c r="AY32" i="2"/>
  <c r="AY3" i="2" s="1"/>
  <c r="AU2" i="3" s="1"/>
  <c r="G193" i="1"/>
  <c r="F22" i="22"/>
  <c r="F23" i="22" s="1"/>
  <c r="F39" i="22"/>
  <c r="F25" i="22"/>
  <c r="F202" i="22"/>
  <c r="F221" i="22"/>
  <c r="F60" i="22"/>
  <c r="F99" i="22"/>
  <c r="F100" i="22" s="1"/>
  <c r="F59" i="22"/>
  <c r="F168" i="22"/>
  <c r="F169" i="22" s="1"/>
  <c r="B63" i="22" s="1"/>
  <c r="F42" i="22"/>
  <c r="F54" i="22" s="1"/>
  <c r="F170" i="22"/>
  <c r="B64" i="22" s="1"/>
  <c r="F208" i="22"/>
  <c r="F220" i="22"/>
  <c r="F197" i="22"/>
  <c r="F217" i="22"/>
  <c r="F211" i="22"/>
  <c r="F214" i="22"/>
  <c r="F222" i="22"/>
  <c r="F216" i="22"/>
  <c r="F219" i="22"/>
  <c r="F231" i="22" s="1"/>
  <c r="B107" i="22" s="1"/>
  <c r="F201" i="22"/>
  <c r="F200" i="22"/>
  <c r="F213" i="22"/>
  <c r="F198" i="22"/>
  <c r="F204" i="22"/>
  <c r="F230" i="22" s="1"/>
  <c r="C106" i="22" s="1"/>
  <c r="F199" i="22"/>
  <c r="F206" i="22"/>
  <c r="F207" i="22"/>
  <c r="F212" i="22"/>
  <c r="D3" i="2"/>
  <c r="P2" i="3" s="1"/>
  <c r="B9" i="4"/>
  <c r="F215" i="22"/>
  <c r="F46" i="22"/>
  <c r="F52" i="22" s="1"/>
  <c r="B73" i="22" s="1"/>
  <c r="F33" i="22"/>
  <c r="F34" i="22" s="1"/>
  <c r="F37" i="22" s="1"/>
  <c r="B11" i="18"/>
  <c r="B2" i="18" s="1"/>
  <c r="B481" i="1"/>
  <c r="G112" i="1"/>
  <c r="G116" i="1" s="1"/>
  <c r="B347" i="1"/>
  <c r="B178" i="1"/>
  <c r="B83" i="1"/>
  <c r="B79" i="1"/>
  <c r="B76" i="1"/>
  <c r="B140" i="1"/>
  <c r="B78" i="1"/>
  <c r="B163" i="1"/>
  <c r="F163" i="1"/>
  <c r="B80" i="1"/>
  <c r="F42" i="1"/>
  <c r="G86" i="1"/>
  <c r="B375" i="1"/>
  <c r="B379" i="1"/>
  <c r="B313" i="1"/>
  <c r="B15" i="16"/>
  <c r="B4" i="16" s="1"/>
  <c r="B395" i="1"/>
  <c r="B448" i="1"/>
  <c r="B378" i="1"/>
  <c r="B320" i="1"/>
  <c r="B361" i="1"/>
  <c r="B370" i="1"/>
  <c r="C501" i="1"/>
  <c r="F142" i="1"/>
  <c r="B176" i="1"/>
  <c r="B388" i="1"/>
  <c r="B474" i="1"/>
  <c r="B453" i="1"/>
  <c r="B458" i="1"/>
  <c r="B406" i="1"/>
  <c r="B423" i="1"/>
  <c r="B419" i="1"/>
  <c r="B410" i="1"/>
  <c r="B401" i="1"/>
  <c r="B337" i="1"/>
  <c r="B374" i="1"/>
  <c r="B383" i="1"/>
  <c r="B501" i="1"/>
  <c r="B515" i="1"/>
  <c r="B507" i="1"/>
  <c r="D27" i="4"/>
  <c r="F26" i="4"/>
  <c r="C32" i="4" s="1"/>
  <c r="G26" i="4"/>
  <c r="D32" i="4" s="1"/>
  <c r="CD30" i="2"/>
  <c r="CD3" i="2" s="1"/>
  <c r="H43" i="1"/>
  <c r="H85" i="1"/>
  <c r="F227" i="22" l="1"/>
  <c r="B105" i="22" s="1"/>
  <c r="C91" i="22"/>
  <c r="E11" i="18"/>
  <c r="K11" i="18" s="1"/>
  <c r="N11" i="18" s="1"/>
  <c r="B62" i="22"/>
  <c r="F229" i="22"/>
  <c r="B106" i="22" s="1"/>
  <c r="F188" i="22"/>
  <c r="F47" i="22"/>
  <c r="F234" i="22"/>
  <c r="C108" i="22" s="1"/>
  <c r="F165" i="22"/>
  <c r="C59" i="22" s="1"/>
  <c r="F36" i="22"/>
  <c r="F179" i="22"/>
  <c r="F232" i="22"/>
  <c r="C107" i="22" s="1"/>
  <c r="F225" i="22"/>
  <c r="B104" i="22" s="1"/>
  <c r="F103" i="22"/>
  <c r="F108" i="22" s="1"/>
  <c r="C65" i="22" s="1"/>
  <c r="F32" i="22"/>
  <c r="F166" i="22" s="1"/>
  <c r="C60" i="22" s="1"/>
  <c r="C93" i="22" s="1"/>
  <c r="F233" i="22"/>
  <c r="B108" i="22" s="1"/>
  <c r="F228" i="22"/>
  <c r="C105" i="22" s="1"/>
  <c r="F35" i="22"/>
  <c r="F38" i="22"/>
  <c r="F104" i="22"/>
  <c r="F226" i="22"/>
  <c r="C104" i="22" s="1"/>
  <c r="F223" i="22"/>
  <c r="B103" i="22" s="1"/>
  <c r="F153" i="22"/>
  <c r="F154" i="22" s="1"/>
  <c r="F137" i="22"/>
  <c r="F138" i="22" s="1"/>
  <c r="F102" i="22"/>
  <c r="F106" i="22" s="1"/>
  <c r="F145" i="22"/>
  <c r="F146" i="22" s="1"/>
  <c r="F120" i="22"/>
  <c r="F224" i="22"/>
  <c r="C103" i="22" s="1"/>
  <c r="E15" i="16"/>
  <c r="H15" i="16" s="1"/>
  <c r="K15" i="16" s="1"/>
  <c r="N15" i="16" s="1"/>
  <c r="R15" i="16" s="1"/>
  <c r="N2" i="3"/>
  <c r="BF2" i="3"/>
  <c r="B74" i="22"/>
  <c r="F56" i="22"/>
  <c r="F57" i="22"/>
  <c r="B74" i="4"/>
  <c r="H11" i="18" l="1"/>
  <c r="F109" i="22"/>
  <c r="B66" i="22" s="1"/>
  <c r="F107" i="22"/>
  <c r="B65" i="22" s="1"/>
  <c r="F111" i="22"/>
  <c r="F112" i="22" s="1"/>
  <c r="F171" i="22"/>
  <c r="F193" i="22"/>
  <c r="F114" i="22"/>
  <c r="F239" i="22"/>
  <c r="F122" i="22"/>
  <c r="F128" i="22"/>
  <c r="F130" i="22" s="1"/>
  <c r="F238" i="22"/>
  <c r="F110" i="22"/>
  <c r="C66" i="22" s="1"/>
  <c r="F58" i="22"/>
  <c r="F95" i="22" s="1"/>
  <c r="F143" i="22" l="1"/>
  <c r="F148" i="22" s="1"/>
  <c r="C85" i="22" s="1"/>
  <c r="F136" i="22"/>
  <c r="F141" i="22" s="1"/>
  <c r="B84" i="22" s="1"/>
  <c r="F115" i="22"/>
  <c r="B67" i="22" s="1"/>
  <c r="F152" i="22"/>
  <c r="F236" i="22"/>
  <c r="F240" i="22" s="1"/>
  <c r="B89" i="22" s="1"/>
  <c r="F119" i="22"/>
  <c r="F124" i="22" s="1"/>
  <c r="C69" i="22" s="1"/>
  <c r="F151" i="22"/>
  <c r="F155" i="22" s="1"/>
  <c r="B87" i="22" s="1"/>
  <c r="F135" i="22"/>
  <c r="F140" i="22" s="1"/>
  <c r="C83" i="22" s="1"/>
  <c r="F117" i="22"/>
  <c r="B68" i="22" s="1"/>
  <c r="B94" i="22" s="1"/>
  <c r="F118" i="22"/>
  <c r="C68" i="22" s="1"/>
  <c r="C94" i="22" s="1"/>
  <c r="F144" i="22"/>
  <c r="F149" i="22" s="1"/>
  <c r="B86" i="22" s="1"/>
  <c r="F116" i="22"/>
  <c r="C67" i="22" s="1"/>
  <c r="C61" i="22"/>
  <c r="F172" i="22"/>
  <c r="F66" i="22"/>
  <c r="C76" i="22" s="1"/>
  <c r="F63" i="22"/>
  <c r="B75" i="22" s="1"/>
  <c r="F64" i="22"/>
  <c r="B76" i="22" s="1"/>
  <c r="F65" i="22"/>
  <c r="C75" i="22" s="1"/>
  <c r="F97" i="22"/>
  <c r="F98" i="22" s="1"/>
  <c r="C82" i="22" s="1"/>
  <c r="B81" i="22"/>
  <c r="F96" i="22"/>
  <c r="B82" i="22" s="1"/>
  <c r="F123" i="22" l="1"/>
  <c r="B69" i="22" s="1"/>
  <c r="F241" i="22"/>
  <c r="C89" i="22" s="1"/>
  <c r="F237" i="22"/>
  <c r="F243" i="22" s="1"/>
  <c r="C90" i="22" s="1"/>
  <c r="F121" i="22"/>
  <c r="F125" i="22" s="1"/>
  <c r="B70" i="22" s="1"/>
  <c r="F147" i="22"/>
  <c r="B85" i="22" s="1"/>
  <c r="F156" i="22"/>
  <c r="C87" i="22" s="1"/>
  <c r="F157" i="22"/>
  <c r="B88" i="22" s="1"/>
  <c r="F158" i="22"/>
  <c r="C88" i="22" s="1"/>
  <c r="F142" i="22"/>
  <c r="C84" i="22" s="1"/>
  <c r="F127" i="22"/>
  <c r="F132" i="22" s="1"/>
  <c r="C71" i="22" s="1"/>
  <c r="F139" i="22"/>
  <c r="B83" i="22" s="1"/>
  <c r="F79" i="22"/>
  <c r="F80" i="22" s="1"/>
  <c r="B80" i="22" s="1"/>
  <c r="F150" i="22"/>
  <c r="C86" i="22" s="1"/>
  <c r="C62" i="22"/>
  <c r="F173" i="22"/>
  <c r="C63" i="22" s="1"/>
  <c r="C81" i="22"/>
  <c r="F131" i="22"/>
  <c r="B71" i="22" s="1"/>
  <c r="F71" i="22"/>
  <c r="B77" i="22" s="1"/>
  <c r="F87" i="22"/>
  <c r="B109" i="22" s="1"/>
  <c r="F129" i="22" l="1"/>
  <c r="F133" i="22" s="1"/>
  <c r="B72" i="22" s="1"/>
  <c r="F242" i="22"/>
  <c r="B90" i="22" s="1"/>
  <c r="F126" i="22"/>
  <c r="C70" i="22" s="1"/>
  <c r="B79" i="22"/>
  <c r="F73" i="22"/>
  <c r="F74" i="22" s="1"/>
  <c r="C78" i="22" s="1"/>
  <c r="F72" i="22"/>
  <c r="B78" i="22" s="1"/>
  <c r="F88" i="22"/>
  <c r="B110" i="22" s="1"/>
  <c r="F134" i="22" l="1"/>
  <c r="C72" i="22" s="1"/>
  <c r="F81" i="22"/>
  <c r="C79" i="22" s="1"/>
  <c r="C77" i="22"/>
  <c r="F89" i="22" l="1"/>
  <c r="C109" i="22" s="1"/>
  <c r="F82" i="22"/>
  <c r="C80" i="22" s="1"/>
  <c r="F90" i="22" l="1"/>
  <c r="C110" i="22" s="1"/>
</calcChain>
</file>

<file path=xl/sharedStrings.xml><?xml version="1.0" encoding="utf-8"?>
<sst xmlns="http://schemas.openxmlformats.org/spreadsheetml/2006/main" count="11500" uniqueCount="4837">
  <si>
    <t>used, even if tacked to deck</t>
  </si>
  <si>
    <t>Bow &amp; stern overhangs</t>
  </si>
  <si>
    <t>if no empty wt available</t>
  </si>
  <si>
    <t>American Express</t>
  </si>
  <si>
    <t>sandwich kevlar</t>
  </si>
  <si>
    <t>sandwich verre</t>
  </si>
  <si>
    <t>verre monolithique</t>
  </si>
  <si>
    <t>bois moulé</t>
  </si>
  <si>
    <t>contreplaqué</t>
  </si>
  <si>
    <t>Bois</t>
  </si>
  <si>
    <t>acier</t>
  </si>
  <si>
    <t>ciment</t>
  </si>
  <si>
    <t>Spin / whisker pole or tack length</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</si>
  <si>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</si>
  <si>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</si>
  <si>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</si>
  <si>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</si>
  <si>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</si>
  <si>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</si>
  <si>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</si>
  <si>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</si>
  <si>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</si>
  <si>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</si>
  <si>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</si>
  <si>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</si>
  <si>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</si>
  <si>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</si>
  <si>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Vela de proa sobre enrollador?</t>
  </si>
  <si>
    <t>Mayor: enrrollada en el mástil?</t>
  </si>
  <si>
    <t>Si ninguna, poner 0</t>
  </si>
  <si>
    <t>El barco es un Dayboat?</t>
  </si>
  <si>
    <t>Ver IRC Regla 24</t>
  </si>
  <si>
    <t>Creux</t>
  </si>
  <si>
    <t>Cavita</t>
  </si>
  <si>
    <t>Hueco</t>
  </si>
  <si>
    <t>Max kg water per side</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</si>
  <si>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</si>
  <si>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</si>
  <si>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</si>
  <si>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</si>
  <si>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</si>
  <si>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</si>
  <si>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</si>
  <si>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</si>
  <si>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</si>
  <si>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</si>
  <si>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N º total de velas de proa a bordo que pueden ser utilizadas en regata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</si>
  <si>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</si>
  <si>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</si>
  <si>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</si>
  <si>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</si>
  <si>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</si>
  <si>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</si>
  <si>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SIí: No es necesario para completar las celdas sombreadas en gris de abajo. Por favor dénos toda la otra información.</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</si>
  <si>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</si>
  <si>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</si>
  <si>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</si>
  <si>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</si>
  <si>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</si>
  <si>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</si>
  <si>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</si>
  <si>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</si>
  <si>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</si>
  <si>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</si>
  <si>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</si>
  <si>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</si>
  <si>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</si>
  <si>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</si>
  <si>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</si>
  <si>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TOFINOU 9.5</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</si>
  <si>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</si>
  <si>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</si>
  <si>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</si>
  <si>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</si>
  <si>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</si>
  <si>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</si>
  <si>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</si>
  <si>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</si>
  <si>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</si>
  <si>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</si>
  <si>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</si>
  <si>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</si>
  <si>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</si>
  <si>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</si>
  <si>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</si>
  <si>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</si>
  <si>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</si>
  <si>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</si>
  <si>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</si>
  <si>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</si>
  <si>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</si>
  <si>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</si>
  <si>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</si>
  <si>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</si>
  <si>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</si>
  <si>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</si>
  <si>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</si>
  <si>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</si>
  <si>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</si>
  <si>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</si>
  <si>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</si>
  <si>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</si>
  <si>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</si>
  <si>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</si>
  <si>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</si>
  <si>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</si>
  <si>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</si>
  <si>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</si>
  <si>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</si>
  <si>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</si>
  <si>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</si>
  <si>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</si>
  <si>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</si>
  <si>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</si>
  <si>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</si>
  <si>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</si>
  <si>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</si>
  <si>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</si>
  <si>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</si>
  <si>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</si>
  <si>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</si>
  <si>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</si>
  <si>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</si>
  <si>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</si>
  <si>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</si>
  <si>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</si>
  <si>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</si>
  <si>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</si>
  <si>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</si>
  <si>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</si>
  <si>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</si>
  <si>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</si>
  <si>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</si>
  <si>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</si>
  <si>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</si>
  <si>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</si>
  <si>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</si>
  <si>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</si>
  <si>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</si>
  <si>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</si>
  <si>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</si>
  <si>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</si>
  <si>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</si>
  <si>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No:</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</si>
  <si>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</si>
  <si>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</si>
  <si>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</si>
  <si>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</si>
  <si>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</si>
  <si>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</si>
  <si>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</si>
  <si>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</si>
  <si>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Vela di prua rollabile?</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</si>
  <si>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</si>
  <si>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</si>
  <si>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</si>
  <si>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</si>
  <si>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</si>
  <si>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</si>
  <si>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</si>
  <si>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</si>
  <si>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</si>
  <si>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</si>
  <si>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</si>
  <si>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</si>
  <si>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</si>
  <si>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</si>
  <si>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</si>
  <si>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</si>
  <si>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</si>
  <si>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</si>
  <si>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</si>
  <si>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</si>
  <si>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</si>
  <si>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</si>
  <si>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</si>
  <si>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</si>
  <si>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</si>
  <si>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</si>
  <si>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</si>
  <si>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</si>
  <si>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</si>
  <si>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</si>
  <si>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</si>
  <si>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</si>
  <si>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</si>
  <si>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</si>
  <si>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</si>
  <si>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</si>
  <si>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</si>
  <si>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</si>
  <si>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</si>
  <si>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</si>
  <si>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</si>
  <si>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</si>
  <si>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</si>
  <si>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</si>
  <si>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</si>
  <si>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</si>
  <si>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</si>
  <si>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</si>
  <si>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</si>
  <si>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</si>
  <si>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</si>
  <si>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</si>
  <si>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</si>
  <si>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</si>
  <si>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</si>
  <si>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</si>
  <si>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</si>
  <si>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</si>
  <si>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</si>
  <si>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</si>
  <si>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</si>
  <si>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</si>
  <si>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</si>
  <si>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</si>
  <si>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tangone e/o buttafuori</t>
  </si>
  <si>
    <t>tangone e bompresso</t>
  </si>
  <si>
    <t>tangone solo per vele di prua (no spi)</t>
  </si>
  <si>
    <t>STANDARD HULL DATA</t>
  </si>
  <si>
    <t>Yacht Name</t>
  </si>
  <si>
    <t>PLEASE READ BEFORE COMPLETING FORM</t>
  </si>
  <si>
    <t>PLEASE DO NOT PUT INFORMATION OUTSIDE THE FORM BORDER</t>
  </si>
  <si>
    <t>EPF</t>
  </si>
  <si>
    <t>Total if VAT applies*</t>
  </si>
  <si>
    <t>*Is the boat owned by a business, or payment made on a business account?</t>
  </si>
  <si>
    <t>whisker pole for headsail only (no spi)</t>
  </si>
  <si>
    <t>spinnaker pole(s)</t>
  </si>
  <si>
    <t>no pole or bowsprit</t>
  </si>
  <si>
    <t>Is a roller furling headsail fitted?</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</si>
  <si>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</si>
  <si>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</si>
  <si>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</si>
  <si>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</si>
  <si>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</si>
  <si>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</si>
  <si>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</si>
  <si>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</si>
  <si>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</si>
  <si>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</si>
  <si>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</si>
  <si>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</si>
  <si>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</si>
  <si>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</si>
  <si>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</si>
  <si>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</si>
  <si>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</si>
  <si>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</si>
  <si>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</si>
  <si>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</si>
  <si>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</si>
  <si>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</si>
  <si>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</si>
  <si>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</si>
  <si>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</si>
  <si>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</si>
  <si>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</si>
  <si>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</si>
  <si>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</si>
  <si>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</si>
  <si>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</si>
  <si>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</si>
  <si>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</si>
  <si>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</si>
  <si>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</si>
  <si>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</si>
  <si>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</si>
  <si>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</si>
  <si>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</si>
  <si>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</si>
  <si>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</si>
  <si>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</si>
  <si>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</si>
  <si>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</si>
  <si>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</si>
  <si>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</si>
  <si>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</si>
  <si>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</si>
  <si>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</si>
  <si>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</si>
  <si>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</si>
  <si>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</si>
  <si>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</si>
  <si>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</si>
  <si>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</si>
  <si>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</si>
  <si>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</si>
  <si>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</si>
  <si>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</si>
  <si>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</si>
  <si>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</si>
  <si>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</si>
  <si>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</si>
  <si>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</si>
  <si>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</si>
  <si>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</si>
  <si>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</si>
  <si>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</si>
  <si>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</si>
  <si>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</si>
  <si>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</si>
  <si>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</si>
  <si>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</si>
  <si>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</si>
  <si>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</si>
  <si>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</si>
  <si>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</si>
  <si>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</si>
  <si>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</si>
  <si>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</si>
  <si>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</si>
  <si>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</si>
  <si>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</si>
  <si>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</si>
  <si>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</si>
  <si>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</si>
  <si>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</si>
  <si>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</si>
  <si>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</si>
  <si>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</si>
  <si>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</si>
  <si>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</si>
  <si>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</si>
  <si>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</si>
  <si>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</si>
  <si>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</si>
  <si>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</si>
  <si>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</si>
  <si>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</si>
  <si>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</si>
  <si>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</si>
  <si>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</si>
  <si>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</si>
  <si>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</si>
  <si>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</si>
  <si>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</si>
  <si>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</si>
  <si>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</si>
  <si>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</si>
  <si>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</si>
  <si>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</si>
  <si>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</si>
  <si>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</si>
  <si>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</si>
  <si>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</si>
  <si>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</si>
  <si>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</si>
  <si>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</si>
  <si>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</si>
  <si>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</si>
  <si>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</si>
  <si>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</si>
  <si>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</si>
  <si>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</si>
  <si>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</si>
  <si>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</si>
  <si>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</si>
  <si>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</si>
  <si>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</si>
  <si>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</si>
  <si>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</si>
  <si>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</si>
  <si>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</si>
  <si>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</si>
  <si>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</si>
  <si>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</si>
  <si>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</si>
  <si>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</si>
  <si>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</si>
  <si>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</si>
  <si>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</si>
  <si>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</si>
  <si>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</si>
  <si>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</si>
  <si>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</si>
  <si>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</si>
  <si>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</si>
  <si>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</si>
  <si>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</si>
  <si>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</si>
  <si>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</si>
  <si>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</si>
  <si>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</si>
  <si>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</si>
  <si>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</si>
  <si>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</si>
  <si>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</si>
  <si>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</si>
  <si>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</si>
  <si>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</si>
  <si>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</si>
  <si>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</si>
  <si>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</si>
  <si>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</si>
  <si>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</si>
  <si>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</si>
  <si>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</si>
  <si>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spinnaker pole(s) and bowsprit</t>
  </si>
  <si>
    <t>SPL / STL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</si>
  <si>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</si>
  <si>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</si>
  <si>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</si>
  <si>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</si>
  <si>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</si>
  <si>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</si>
  <si>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</si>
  <si>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</si>
  <si>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</si>
  <si>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</si>
  <si>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</si>
  <si>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</si>
  <si>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</si>
  <si>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</si>
  <si>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</si>
  <si>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</si>
  <si>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Sélectionner les descriptions les plus pertinentes. Si "autre" détailler en commentaires ou séparément.</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</si>
  <si>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</si>
  <si>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</si>
  <si>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</si>
  <si>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</si>
  <si>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</si>
  <si>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</si>
  <si>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</si>
  <si>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</si>
  <si>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</si>
  <si>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</si>
  <si>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</si>
  <si>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</si>
  <si>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</si>
  <si>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</si>
  <si>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</si>
  <si>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</si>
  <si>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</si>
  <si>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</si>
  <si>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</si>
  <si>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</si>
  <si>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</si>
  <si>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</si>
  <si>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</si>
  <si>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</si>
  <si>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</si>
  <si>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</si>
  <si>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</si>
  <si>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</si>
  <si>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</si>
  <si>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</si>
  <si>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</si>
  <si>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</si>
  <si>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</si>
  <si>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</si>
  <si>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</si>
  <si>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</si>
  <si>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</si>
  <si>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</si>
  <si>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</si>
  <si>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</si>
  <si>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</si>
  <si>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</si>
  <si>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</si>
  <si>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</si>
  <si>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</si>
  <si>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</si>
  <si>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</si>
  <si>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</si>
  <si>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</si>
  <si>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</si>
  <si>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</si>
  <si>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</si>
  <si>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</si>
  <si>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</si>
  <si>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</si>
  <si>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</si>
  <si>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</si>
  <si>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</si>
  <si>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</si>
  <si>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</si>
  <si>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</si>
  <si>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</si>
  <si>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</si>
  <si>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</si>
  <si>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</si>
  <si>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</si>
  <si>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</si>
  <si>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</si>
  <si>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</si>
  <si>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</si>
  <si>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</si>
  <si>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</si>
  <si>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</si>
  <si>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</si>
  <si>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</si>
  <si>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</si>
  <si>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</si>
  <si>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</si>
  <si>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</si>
  <si>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</si>
  <si>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</si>
  <si>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</si>
  <si>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</si>
  <si>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</si>
  <si>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</si>
  <si>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</si>
  <si>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</si>
  <si>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</si>
  <si>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</si>
  <si>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</si>
  <si>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</si>
  <si>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</si>
  <si>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</si>
  <si>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</si>
  <si>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</si>
  <si>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</si>
  <si>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</si>
  <si>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</si>
  <si>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</si>
  <si>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</si>
  <si>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</si>
  <si>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</si>
  <si>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</si>
  <si>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</si>
  <si>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</si>
  <si>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</si>
  <si>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</si>
  <si>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</si>
  <si>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</si>
  <si>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</si>
  <si>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</si>
  <si>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</si>
  <si>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</si>
  <si>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</si>
  <si>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</si>
  <si>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</si>
  <si>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</si>
  <si>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</si>
  <si>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</si>
  <si>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</si>
  <si>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</si>
  <si>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</si>
  <si>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</si>
  <si>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</si>
  <si>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</si>
  <si>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</si>
  <si>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</si>
  <si>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</si>
  <si>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</si>
  <si>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</si>
  <si>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</si>
  <si>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</si>
  <si>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</si>
  <si>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</si>
  <si>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</si>
  <si>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</si>
  <si>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</si>
  <si>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</si>
  <si>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</si>
  <si>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</si>
  <si>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</si>
  <si>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</si>
  <si>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</si>
  <si>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</si>
  <si>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</si>
  <si>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</si>
  <si>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</si>
  <si>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</si>
  <si>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</si>
  <si>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</si>
  <si>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</si>
  <si>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</si>
  <si>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</si>
  <si>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</si>
  <si>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</si>
  <si>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</si>
  <si>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</si>
  <si>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</si>
  <si>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</si>
  <si>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4" type="noConversion"/>
  </si>
  <si>
    <t>はい、しかしレース中は使用しない</t>
    <rPh sb="9" eb="10">
      <t>ちゅう</t>
    </rPh>
    <rPh sb="11" eb="13">
      <t>しよう</t>
    </rPh>
    <phoneticPr fontId="4" type="noConversion"/>
  </si>
  <si>
    <t>フォアステー：フォアステーを調整するシステムがボートに備わっている、もしくは、搭載されていますか？</t>
  </si>
  <si>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</si>
  <si>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</si>
  <si>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</si>
  <si>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</si>
  <si>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</si>
  <si>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</si>
  <si>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</si>
  <si>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</si>
  <si>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</si>
  <si>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</si>
  <si>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</si>
  <si>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</si>
  <si>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</si>
  <si>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</si>
  <si>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</si>
  <si>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</si>
  <si>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</si>
  <si>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</si>
  <si>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</si>
  <si>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</si>
  <si>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</si>
  <si>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</si>
  <si>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</si>
  <si>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</si>
  <si>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</si>
  <si>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</si>
  <si>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</si>
  <si>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</si>
  <si>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</si>
  <si>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</si>
  <si>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</si>
  <si>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</si>
  <si>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</si>
  <si>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</si>
  <si>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</si>
  <si>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</si>
  <si>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</si>
  <si>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</si>
  <si>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</si>
  <si>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</si>
  <si>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</si>
  <si>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</si>
  <si>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</si>
  <si>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</si>
  <si>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</si>
  <si>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</si>
  <si>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</si>
  <si>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</si>
  <si>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</si>
  <si>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</si>
  <si>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</si>
  <si>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</si>
  <si>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</si>
  <si>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</si>
  <si>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</si>
  <si>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</si>
  <si>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</si>
  <si>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</si>
  <si>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</si>
  <si>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</si>
  <si>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</si>
  <si>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</si>
  <si>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</si>
  <si>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</si>
  <si>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</si>
  <si>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</si>
  <si>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carbon sandwich</t>
  </si>
  <si>
    <t>kevlar sandwich</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</si>
  <si>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</si>
  <si>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</si>
  <si>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</si>
  <si>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</si>
  <si>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</si>
  <si>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</si>
  <si>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</si>
  <si>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</si>
  <si>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</si>
  <si>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</si>
  <si>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</si>
  <si>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</si>
  <si>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</si>
  <si>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</si>
  <si>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</si>
  <si>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</si>
  <si>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</si>
  <si>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</si>
  <si>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</si>
  <si>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</si>
  <si>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</si>
  <si>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</si>
  <si>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</si>
  <si>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</si>
  <si>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</si>
  <si>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</si>
  <si>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</si>
  <si>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</si>
  <si>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</si>
  <si>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</si>
  <si>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</si>
  <si>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</si>
  <si>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</si>
  <si>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</si>
  <si>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</si>
  <si>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</si>
  <si>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</si>
  <si>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</si>
  <si>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</si>
  <si>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</si>
  <si>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</si>
  <si>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</si>
  <si>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</si>
  <si>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</si>
  <si>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</si>
  <si>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</si>
  <si>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</si>
  <si>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</si>
  <si>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</si>
  <si>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</si>
  <si>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</si>
  <si>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</si>
  <si>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</si>
  <si>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</si>
  <si>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</si>
  <si>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</si>
  <si>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</si>
  <si>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</si>
  <si>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</si>
  <si>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</si>
  <si>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</si>
  <si>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</si>
  <si>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</si>
  <si>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</si>
  <si>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</si>
  <si>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</si>
  <si>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</si>
  <si>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</si>
  <si>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</si>
  <si>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</si>
  <si>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</si>
  <si>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</si>
  <si>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</si>
  <si>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</si>
  <si>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</si>
  <si>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</si>
  <si>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</si>
  <si>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</si>
  <si>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</si>
  <si>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</si>
  <si>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</si>
  <si>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</si>
  <si>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</si>
  <si>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</si>
  <si>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</si>
  <si>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</si>
  <si>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</si>
  <si>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</si>
  <si>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</si>
  <si>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</si>
  <si>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</si>
  <si>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</si>
  <si>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</si>
  <si>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</si>
  <si>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</si>
  <si>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</si>
  <si>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</si>
  <si>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</si>
  <si>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</si>
  <si>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</si>
  <si>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</si>
  <si>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</si>
  <si>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</si>
  <si>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</si>
  <si>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</si>
  <si>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</si>
  <si>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</si>
  <si>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</si>
  <si>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</si>
  <si>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</si>
  <si>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</si>
  <si>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</si>
  <si>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</si>
  <si>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</si>
  <si>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</si>
  <si>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</si>
  <si>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</si>
  <si>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</si>
  <si>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</si>
  <si>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</si>
  <si>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</si>
  <si>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</si>
  <si>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</si>
  <si>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</si>
  <si>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</si>
  <si>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</si>
  <si>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</si>
  <si>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</si>
  <si>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</si>
  <si>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</si>
  <si>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</si>
  <si>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</si>
  <si>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</si>
  <si>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</si>
  <si>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</si>
  <si>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</si>
  <si>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</si>
  <si>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</si>
  <si>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</si>
  <si>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</si>
  <si>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</si>
  <si>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</si>
  <si>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</si>
  <si>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</si>
  <si>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</si>
  <si>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</si>
  <si>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</si>
  <si>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</si>
  <si>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</si>
  <si>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</si>
  <si>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</si>
  <si>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</si>
  <si>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</si>
  <si>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</si>
  <si>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</si>
  <si>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</si>
  <si>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</si>
  <si>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</si>
  <si>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</si>
  <si>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</si>
  <si>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</si>
  <si>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</si>
  <si>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</si>
  <si>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</si>
  <si>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</si>
  <si>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</si>
  <si>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</si>
  <si>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</si>
  <si>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</si>
  <si>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</si>
  <si>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</si>
  <si>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</si>
  <si>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</si>
  <si>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42 NY/CLUB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</si>
  <si>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</si>
  <si>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</si>
  <si>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</si>
  <si>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</si>
  <si>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</si>
  <si>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</si>
  <si>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</si>
  <si>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</si>
  <si>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</si>
  <si>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</si>
  <si>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</si>
  <si>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</si>
  <si>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</si>
  <si>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</si>
  <si>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</si>
  <si>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</si>
  <si>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</si>
  <si>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</si>
  <si>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</si>
  <si>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</si>
  <si>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</si>
  <si>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</si>
  <si>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</si>
  <si>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</si>
  <si>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</si>
  <si>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</si>
  <si>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</si>
  <si>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</si>
  <si>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</si>
  <si>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</si>
  <si>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</si>
  <si>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</si>
  <si>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</si>
  <si>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</si>
  <si>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</si>
  <si>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</si>
  <si>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</si>
  <si>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</si>
  <si>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</si>
  <si>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</si>
  <si>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</si>
  <si>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</si>
  <si>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</si>
  <si>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</si>
  <si>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</si>
  <si>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</si>
  <si>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</si>
  <si>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</si>
  <si>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</si>
  <si>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</si>
  <si>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</si>
  <si>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</si>
  <si>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</si>
  <si>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</si>
  <si>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</si>
  <si>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</si>
  <si>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</si>
  <si>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</si>
  <si>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</si>
  <si>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</si>
  <si>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</si>
  <si>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</si>
  <si>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</si>
  <si>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</si>
  <si>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</si>
  <si>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</si>
  <si>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</si>
  <si>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</si>
  <si>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</si>
  <si>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</si>
  <si>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</si>
  <si>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</si>
  <si>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</si>
  <si>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</si>
  <si>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</si>
  <si>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</si>
  <si>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</si>
  <si>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</si>
  <si>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</si>
  <si>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</si>
  <si>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</si>
  <si>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</si>
  <si>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</si>
  <si>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</si>
  <si>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</si>
  <si>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</si>
  <si>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</si>
  <si>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</si>
  <si>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</si>
  <si>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</si>
  <si>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</si>
  <si>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Matériau de coque</t>
  </si>
  <si>
    <t>Aménagement intérieur</t>
  </si>
  <si>
    <t>Matériau des aménagements</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</si>
  <si>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</si>
  <si>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</si>
  <si>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</si>
  <si>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</si>
  <si>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</si>
  <si>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</si>
  <si>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</si>
  <si>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</si>
  <si>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</si>
  <si>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</si>
  <si>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IRC is sponsored in GBR &amp; FRA by</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</si>
  <si>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</si>
  <si>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</si>
  <si>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</si>
  <si>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</si>
  <si>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</si>
  <si>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</si>
  <si>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</si>
  <si>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</si>
  <si>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</si>
  <si>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片舷Max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</si>
  <si>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</si>
  <si>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</si>
  <si>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</si>
  <si>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</si>
  <si>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</si>
  <si>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</si>
  <si>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</si>
  <si>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</si>
  <si>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</si>
  <si>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</si>
  <si>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</si>
  <si>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</si>
  <si>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</si>
  <si>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</si>
  <si>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</si>
  <si>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</si>
  <si>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</si>
  <si>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</si>
  <si>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</si>
  <si>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</si>
  <si>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</si>
  <si>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</si>
  <si>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</si>
  <si>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</si>
  <si>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</si>
  <si>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</si>
  <si>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</si>
  <si>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</si>
  <si>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</si>
  <si>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</si>
  <si>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</si>
  <si>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</si>
  <si>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</si>
  <si>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</si>
  <si>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</si>
  <si>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</si>
  <si>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</si>
  <si>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</si>
  <si>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</si>
  <si>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</si>
  <si>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</si>
  <si>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</si>
  <si>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</si>
  <si>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</si>
  <si>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</si>
  <si>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</si>
  <si>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</si>
  <si>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</si>
  <si>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</si>
  <si>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</si>
  <si>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</si>
  <si>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</si>
  <si>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</si>
  <si>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</si>
  <si>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</si>
  <si>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</si>
  <si>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</si>
  <si>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</si>
  <si>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</si>
  <si>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</si>
  <si>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</si>
  <si>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</si>
  <si>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</si>
  <si>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</si>
  <si>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</si>
  <si>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</si>
  <si>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</si>
  <si>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</si>
  <si>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</si>
  <si>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</si>
  <si>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</si>
  <si>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</si>
  <si>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</si>
  <si>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</si>
  <si>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</si>
  <si>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</si>
  <si>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</si>
  <si>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</si>
  <si>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</si>
  <si>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</si>
  <si>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</si>
  <si>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</si>
  <si>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</si>
  <si>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</si>
  <si>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</si>
  <si>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</si>
  <si>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</si>
  <si>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</si>
  <si>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</si>
  <si>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</si>
  <si>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</si>
  <si>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</si>
  <si>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</si>
  <si>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</si>
  <si>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</si>
  <si>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</si>
  <si>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</si>
  <si>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</si>
  <si>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</si>
  <si>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</si>
  <si>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</si>
  <si>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</si>
  <si>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</si>
  <si>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</si>
  <si>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</si>
  <si>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</si>
  <si>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</si>
  <si>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</si>
  <si>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</si>
  <si>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</si>
  <si>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</si>
  <si>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Yes: Backstay ONLY</t>
  </si>
  <si>
    <t>Han sido efectuados cambios sobre el casco, quilla, timón o sobre el interior desde la primera puesta en el agua del barco y\o con relación al barco de serie de origen si es un barco de serie? Si es sí, gracias por detallar. El centro de cálculo puede sol</t>
  </si>
  <si>
    <t>No. of headsail blank</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</si>
  <si>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</si>
  <si>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</si>
  <si>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</si>
  <si>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</si>
  <si>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</si>
  <si>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</si>
  <si>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</si>
  <si>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</si>
  <si>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</si>
  <si>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</si>
  <si>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</si>
  <si>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</si>
  <si>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</si>
  <si>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</si>
  <si>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</si>
  <si>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</si>
  <si>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</si>
  <si>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</si>
  <si>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</si>
  <si>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</si>
  <si>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</si>
  <si>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</si>
  <si>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</si>
  <si>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</si>
  <si>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</si>
  <si>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</si>
  <si>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</si>
  <si>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</si>
  <si>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</si>
  <si>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</si>
  <si>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</si>
  <si>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</si>
  <si>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</si>
  <si>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</si>
  <si>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</si>
  <si>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</si>
  <si>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</si>
  <si>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</si>
  <si>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</si>
  <si>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</si>
  <si>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</si>
  <si>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</si>
  <si>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</si>
  <si>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</si>
  <si>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</si>
  <si>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</si>
  <si>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</si>
  <si>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</si>
  <si>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</si>
  <si>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</si>
  <si>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</si>
  <si>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</si>
  <si>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</si>
  <si>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</si>
  <si>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</si>
  <si>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</si>
  <si>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</si>
  <si>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</si>
  <si>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</si>
  <si>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</si>
  <si>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</si>
  <si>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</si>
  <si>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Material del casco</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</si>
  <si>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</si>
  <si>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</si>
  <si>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</si>
  <si>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</si>
  <si>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</si>
  <si>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</si>
  <si>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</si>
  <si>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</si>
  <si>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</si>
  <si>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</si>
  <si>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</si>
  <si>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</si>
  <si>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</si>
  <si>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</si>
  <si>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</si>
  <si>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</si>
  <si>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</si>
  <si>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</si>
  <si>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</si>
  <si>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</si>
  <si>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</si>
  <si>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</si>
  <si>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Max acqua per lato (kg)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</si>
  <si>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</si>
  <si>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</si>
  <si>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</si>
  <si>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</si>
  <si>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</si>
  <si>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</si>
  <si>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</si>
  <si>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</si>
  <si>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</si>
  <si>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</si>
  <si>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</si>
  <si>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</si>
  <si>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</si>
  <si>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</si>
  <si>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</si>
  <si>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</si>
  <si>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</si>
  <si>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</si>
  <si>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</si>
  <si>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</si>
  <si>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</si>
  <si>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</si>
  <si>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</si>
  <si>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</si>
  <si>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</si>
  <si>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</si>
  <si>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</si>
  <si>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</si>
  <si>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</si>
  <si>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</si>
  <si>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</si>
  <si>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</si>
  <si>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</si>
  <si>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</si>
  <si>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</si>
  <si>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</si>
  <si>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</si>
  <si>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</si>
  <si>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</si>
  <si>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</si>
  <si>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</si>
  <si>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</si>
  <si>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</si>
  <si>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</si>
  <si>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</si>
  <si>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</si>
  <si>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</si>
  <si>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</si>
  <si>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</si>
  <si>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</si>
  <si>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</si>
  <si>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</si>
  <si>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</si>
  <si>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</si>
  <si>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</si>
  <si>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</si>
  <si>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</si>
  <si>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</si>
  <si>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</si>
  <si>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</si>
  <si>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</si>
  <si>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</si>
  <si>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</si>
  <si>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</si>
  <si>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</si>
  <si>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</si>
  <si>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</si>
  <si>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</si>
  <si>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</si>
  <si>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</si>
  <si>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</si>
  <si>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</si>
  <si>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</si>
  <si>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</si>
  <si>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</si>
  <si>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</si>
  <si>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</si>
  <si>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</si>
  <si>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</si>
  <si>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</si>
  <si>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</si>
  <si>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</si>
  <si>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</si>
  <si>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</si>
  <si>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</si>
  <si>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</si>
  <si>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</si>
  <si>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</si>
  <si>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</si>
  <si>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</si>
  <si>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</si>
  <si>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</si>
  <si>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</si>
  <si>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</si>
  <si>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</si>
  <si>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</si>
  <si>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</si>
  <si>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</si>
  <si>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</si>
  <si>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</si>
  <si>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</si>
  <si>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</si>
  <si>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</si>
  <si>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</si>
  <si>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</si>
  <si>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</si>
  <si>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</si>
  <si>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</si>
  <si>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</si>
  <si>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</si>
  <si>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</si>
  <si>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</si>
  <si>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</si>
  <si>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</si>
  <si>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</si>
  <si>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</si>
  <si>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</si>
  <si>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</si>
  <si>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</si>
  <si>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</si>
  <si>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</si>
  <si>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</si>
  <si>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</si>
  <si>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</si>
  <si>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</si>
  <si>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</si>
  <si>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</si>
  <si>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</si>
  <si>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</si>
  <si>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</si>
  <si>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</si>
  <si>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</si>
  <si>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</si>
  <si>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</si>
  <si>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</si>
  <si>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</si>
  <si>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</si>
  <si>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</si>
  <si>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</si>
  <si>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</si>
  <si>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</si>
  <si>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</si>
  <si>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</si>
  <si>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</si>
  <si>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</si>
  <si>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</si>
  <si>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</si>
  <si>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</si>
  <si>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</si>
  <si>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</si>
  <si>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</si>
  <si>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</si>
  <si>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</si>
  <si>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</si>
  <si>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</si>
  <si>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</si>
  <si>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</si>
  <si>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</si>
  <si>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</si>
  <si>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</si>
  <si>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</si>
  <si>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</si>
  <si>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</si>
  <si>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</si>
  <si>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</si>
  <si>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</si>
  <si>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</si>
  <si>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</si>
  <si>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</si>
  <si>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</si>
  <si>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</si>
  <si>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</si>
  <si>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</si>
  <si>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</si>
  <si>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</si>
  <si>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</si>
  <si>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</si>
  <si>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</si>
  <si>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</si>
  <si>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</si>
  <si>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</si>
  <si>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</si>
  <si>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</si>
  <si>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</si>
  <si>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</si>
  <si>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</si>
  <si>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</si>
  <si>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</si>
  <si>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</si>
  <si>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</si>
  <si>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</si>
  <si>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</si>
  <si>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</si>
  <si>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</si>
  <si>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</si>
  <si>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</si>
  <si>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</si>
  <si>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</si>
  <si>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</si>
  <si>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</si>
  <si>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</si>
  <si>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</si>
  <si>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</si>
  <si>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</si>
  <si>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</si>
  <si>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</si>
  <si>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 regata la barca utilizza (tangone/bompresso):</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</si>
  <si>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</si>
  <si>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</si>
  <si>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</si>
  <si>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</si>
  <si>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</si>
  <si>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</si>
  <si>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</si>
  <si>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</si>
  <si>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</si>
  <si>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</si>
  <si>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</si>
  <si>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</si>
  <si>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</si>
  <si>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</si>
  <si>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</si>
  <si>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</si>
  <si>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</si>
  <si>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</si>
  <si>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</si>
  <si>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</si>
  <si>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</si>
  <si>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</si>
  <si>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</si>
  <si>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</si>
  <si>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</si>
  <si>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</si>
  <si>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</si>
  <si>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</si>
  <si>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</si>
  <si>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</si>
  <si>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</si>
  <si>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</si>
  <si>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</si>
  <si>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</si>
  <si>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</si>
  <si>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</si>
  <si>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</si>
  <si>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</si>
  <si>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</si>
  <si>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</si>
  <si>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</si>
  <si>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</si>
  <si>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</si>
  <si>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</si>
  <si>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</si>
  <si>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</si>
  <si>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</si>
  <si>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</si>
  <si>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</si>
  <si>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</si>
  <si>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</si>
  <si>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</si>
  <si>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</si>
  <si>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</si>
  <si>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</si>
  <si>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</si>
  <si>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</si>
  <si>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</si>
  <si>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</si>
  <si>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</si>
  <si>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</si>
  <si>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</si>
  <si>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</si>
  <si>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</si>
  <si>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</si>
  <si>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</si>
  <si>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</si>
  <si>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</si>
  <si>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</si>
  <si>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</si>
  <si>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</si>
  <si>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</si>
  <si>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</si>
  <si>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</si>
  <si>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</si>
  <si>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</si>
  <si>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</si>
  <si>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</si>
  <si>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</si>
  <si>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</si>
  <si>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</si>
  <si>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</si>
  <si>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</si>
  <si>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</si>
  <si>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</si>
  <si>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</si>
  <si>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</si>
  <si>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</si>
  <si>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</si>
  <si>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</si>
  <si>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</si>
  <si>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</si>
  <si>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</si>
  <si>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</si>
  <si>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</si>
  <si>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</si>
  <si>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</si>
  <si>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</si>
  <si>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</si>
  <si>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</si>
  <si>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</si>
  <si>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</si>
  <si>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</si>
  <si>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</si>
  <si>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</si>
  <si>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</si>
  <si>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</si>
  <si>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</si>
  <si>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</si>
  <si>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</si>
  <si>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</si>
  <si>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</si>
  <si>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</si>
  <si>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</si>
  <si>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</si>
  <si>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</si>
  <si>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</si>
  <si>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</si>
  <si>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</si>
  <si>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</si>
  <si>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</si>
  <si>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</si>
  <si>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</si>
  <si>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</si>
  <si>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</si>
  <si>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</si>
  <si>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</si>
  <si>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</si>
  <si>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</si>
  <si>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</si>
  <si>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</si>
  <si>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</si>
  <si>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</si>
  <si>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</si>
  <si>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</si>
  <si>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</si>
  <si>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</si>
  <si>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</si>
  <si>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</si>
  <si>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</si>
  <si>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</si>
  <si>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</si>
  <si>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</si>
  <si>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</si>
  <si>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</si>
  <si>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</si>
  <si>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</si>
  <si>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</si>
  <si>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</si>
  <si>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</si>
  <si>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</si>
  <si>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</si>
  <si>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</si>
  <si>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 xml:space="preserve">追加がない場合は、 0 </t>
  </si>
  <si>
    <t>dayboatですか ?</t>
  </si>
  <si>
    <t>各項目で、最も適当と思われる表記を選択し、必要なら、下欄や別紙に詳細を記す</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</si>
  <si>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</si>
  <si>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</si>
  <si>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</si>
  <si>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</si>
  <si>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</si>
  <si>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</si>
  <si>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</si>
  <si>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</si>
  <si>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</si>
  <si>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</si>
  <si>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</si>
  <si>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</si>
  <si>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</si>
  <si>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</si>
  <si>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</si>
  <si>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solamente backstay</t>
  </si>
  <si>
    <t>Si : Jarcia de labor</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</si>
  <si>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</si>
  <si>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</si>
  <si>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</si>
  <si>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</si>
  <si>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</si>
  <si>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</si>
  <si>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</si>
  <si>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</si>
  <si>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</si>
  <si>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</si>
  <si>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</si>
  <si>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</si>
  <si>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</si>
  <si>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</si>
  <si>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</si>
  <si>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</si>
  <si>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</si>
  <si>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</si>
  <si>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</si>
  <si>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</si>
  <si>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</si>
  <si>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</si>
  <si>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</si>
  <si>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</si>
  <si>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</si>
  <si>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</si>
  <si>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</si>
  <si>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</si>
  <si>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</si>
  <si>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</si>
  <si>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</si>
  <si>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</si>
  <si>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</si>
  <si>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</si>
  <si>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</si>
  <si>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</si>
  <si>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</si>
  <si>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</si>
  <si>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</si>
  <si>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</si>
  <si>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</si>
  <si>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</si>
  <si>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</si>
  <si>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</si>
  <si>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</si>
  <si>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</si>
  <si>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</si>
  <si>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</si>
  <si>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</si>
  <si>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</si>
  <si>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</si>
  <si>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</si>
  <si>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</si>
  <si>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</si>
  <si>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</si>
  <si>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</si>
  <si>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</si>
  <si>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</si>
  <si>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</si>
  <si>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</si>
  <si>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</si>
  <si>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</si>
  <si>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</si>
  <si>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</si>
  <si>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</si>
  <si>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</si>
  <si>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</si>
  <si>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</si>
  <si>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</si>
  <si>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</si>
  <si>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</si>
  <si>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</si>
  <si>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</si>
  <si>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</si>
  <si>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</si>
  <si>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</si>
  <si>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</si>
  <si>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</si>
  <si>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</si>
  <si>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</si>
  <si>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</si>
  <si>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</si>
  <si>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</si>
  <si>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Accommodation material</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</si>
  <si>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</si>
  <si>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</si>
  <si>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</si>
  <si>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</si>
  <si>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</si>
  <si>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</si>
  <si>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</si>
  <si>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</si>
  <si>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</si>
  <si>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</si>
  <si>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</si>
  <si>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</si>
  <si>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</si>
  <si>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</si>
  <si>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</si>
  <si>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</si>
  <si>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</si>
  <si>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</si>
  <si>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</si>
  <si>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</si>
  <si>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</si>
  <si>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r>
      <t xml:space="preserve">Oui: </t>
    </r>
    <r>
      <rPr>
        <sz val="10"/>
        <color indexed="18"/>
        <rFont val="Arial"/>
        <family val="2"/>
      </rPr>
      <t>Pataras</t>
    </r>
    <r>
      <rPr>
        <sz val="10"/>
        <color indexed="8"/>
        <rFont val="Arial"/>
        <family val="2"/>
      </rPr>
      <t xml:space="preserve"> seulement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</si>
  <si>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</si>
  <si>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</si>
  <si>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</si>
  <si>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</si>
  <si>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</si>
  <si>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</si>
  <si>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</si>
  <si>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</si>
  <si>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</si>
  <si>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</si>
  <si>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</si>
  <si>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</si>
  <si>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</si>
  <si>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</si>
  <si>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</si>
  <si>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</si>
  <si>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</si>
  <si>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</si>
  <si>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</si>
  <si>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</si>
  <si>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</si>
  <si>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</si>
  <si>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</si>
  <si>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</si>
  <si>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</si>
  <si>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</si>
  <si>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</si>
  <si>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</si>
  <si>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</si>
  <si>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</si>
  <si>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</si>
  <si>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</si>
  <si>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</si>
  <si>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</si>
  <si>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</si>
  <si>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</si>
  <si>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</si>
  <si>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</si>
  <si>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</si>
  <si>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</si>
  <si>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</si>
  <si>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</si>
  <si>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</si>
  <si>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</si>
  <si>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</si>
  <si>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</si>
  <si>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</si>
  <si>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</si>
  <si>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</si>
  <si>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</si>
  <si>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</si>
  <si>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</si>
  <si>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</si>
  <si>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</si>
  <si>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</si>
  <si>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</si>
  <si>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</si>
  <si>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</si>
  <si>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</si>
  <si>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</si>
  <si>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</si>
  <si>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</si>
  <si>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</si>
  <si>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</si>
  <si>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</si>
  <si>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</si>
  <si>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</si>
  <si>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</si>
  <si>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</si>
  <si>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</si>
  <si>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</si>
  <si>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</si>
  <si>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</si>
  <si>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</si>
  <si>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Yes + H/W jib</t>
  </si>
  <si>
    <t>Both:</t>
  </si>
  <si>
    <t>Drop fixed</t>
  </si>
  <si>
    <t>Headsails</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</si>
  <si>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</si>
  <si>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</si>
  <si>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</si>
  <si>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</si>
  <si>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</si>
  <si>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</si>
  <si>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</si>
  <si>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</si>
  <si>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</si>
  <si>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</si>
  <si>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</si>
  <si>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</si>
  <si>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</si>
  <si>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</si>
  <si>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</si>
  <si>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</si>
  <si>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</si>
  <si>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</si>
  <si>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</si>
  <si>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</si>
  <si>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</si>
  <si>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</si>
  <si>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</si>
  <si>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</si>
  <si>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</si>
  <si>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</si>
  <si>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</si>
  <si>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</si>
  <si>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</si>
  <si>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</si>
  <si>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</si>
  <si>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</si>
  <si>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</si>
  <si>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</si>
  <si>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</si>
  <si>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</si>
  <si>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</si>
  <si>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</si>
  <si>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</si>
  <si>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</si>
  <si>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</si>
  <si>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</si>
  <si>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</si>
  <si>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</si>
  <si>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</si>
  <si>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</si>
  <si>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</si>
  <si>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</si>
  <si>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</si>
  <si>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</si>
  <si>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</si>
  <si>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</si>
  <si>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</si>
  <si>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</si>
  <si>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</si>
  <si>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</si>
  <si>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</si>
  <si>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</si>
  <si>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</si>
  <si>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</si>
  <si>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</si>
  <si>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</si>
  <si>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</si>
  <si>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</si>
  <si>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</si>
  <si>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</si>
  <si>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</si>
  <si>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</si>
  <si>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</si>
  <si>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</si>
  <si>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</si>
  <si>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</si>
  <si>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</si>
  <si>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</si>
  <si>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</si>
  <si>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</si>
  <si>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solo paterazzo</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</si>
  <si>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</si>
  <si>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</si>
  <si>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</si>
  <si>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</si>
  <si>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</si>
  <si>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</si>
  <si>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</si>
  <si>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</si>
  <si>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</si>
  <si>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</si>
  <si>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</si>
  <si>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</si>
  <si>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</si>
  <si>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</si>
  <si>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</si>
  <si>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</si>
  <si>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</si>
  <si>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</si>
  <si>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</si>
  <si>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</si>
  <si>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</si>
  <si>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</si>
  <si>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</si>
  <si>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</si>
  <si>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</si>
  <si>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</si>
  <si>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</si>
  <si>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</si>
  <si>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</si>
  <si>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</si>
  <si>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</si>
  <si>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</si>
  <si>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</si>
  <si>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</si>
  <si>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</si>
  <si>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</si>
  <si>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</si>
  <si>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</si>
  <si>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</si>
  <si>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</si>
  <si>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</si>
  <si>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</si>
  <si>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</si>
  <si>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</si>
  <si>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</si>
  <si>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</si>
  <si>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</si>
  <si>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</si>
  <si>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</si>
  <si>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</si>
  <si>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</si>
  <si>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</si>
  <si>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</si>
  <si>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</si>
  <si>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</si>
  <si>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</si>
  <si>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</si>
  <si>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</si>
  <si>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</si>
  <si>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</si>
  <si>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</si>
  <si>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</si>
  <si>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</si>
  <si>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</si>
  <si>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</si>
  <si>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</si>
  <si>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</si>
  <si>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</si>
  <si>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</si>
  <si>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</si>
  <si>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</si>
  <si>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</si>
  <si>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</si>
  <si>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</si>
  <si>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</si>
  <si>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</si>
  <si>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</si>
  <si>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</si>
  <si>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</si>
  <si>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</si>
  <si>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</si>
  <si>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</si>
  <si>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</si>
  <si>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</si>
  <si>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</si>
  <si>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</si>
  <si>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</si>
  <si>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</si>
  <si>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</si>
  <si>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</si>
  <si>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</si>
  <si>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</si>
  <si>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</si>
  <si>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</si>
  <si>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</si>
  <si>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</si>
  <si>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</si>
  <si>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</si>
  <si>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</si>
  <si>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</si>
  <si>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</si>
  <si>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</si>
  <si>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</si>
  <si>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</si>
  <si>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</si>
  <si>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</si>
  <si>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</si>
  <si>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</si>
  <si>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</si>
  <si>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</si>
  <si>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</si>
  <si>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</si>
  <si>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</si>
  <si>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</si>
  <si>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</si>
  <si>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</si>
  <si>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</si>
  <si>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</si>
  <si>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</si>
  <si>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</si>
  <si>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</si>
  <si>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</si>
  <si>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</si>
  <si>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</si>
  <si>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</si>
  <si>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</si>
  <si>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</si>
  <si>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</si>
  <si>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</si>
  <si>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</si>
  <si>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</si>
  <si>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</si>
  <si>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</si>
  <si>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</si>
  <si>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</si>
  <si>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</si>
  <si>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</si>
  <si>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</si>
  <si>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</si>
  <si>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</si>
  <si>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</si>
  <si>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</si>
  <si>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</si>
  <si>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</si>
  <si>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</si>
  <si>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Guide de mesures simplifiés (non valide pour les certificats Endorsed)</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</si>
  <si>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</si>
  <si>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</si>
  <si>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</si>
  <si>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Nb TOTAL de voiles d'avant à bord qui peuvent être utilisés en course.</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</si>
  <si>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</si>
  <si>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</si>
  <si>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</si>
  <si>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</si>
  <si>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</si>
  <si>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</si>
  <si>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</si>
  <si>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</si>
  <si>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</si>
  <si>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</si>
  <si>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</si>
  <si>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</si>
  <si>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</si>
  <si>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</si>
  <si>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</si>
  <si>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</si>
  <si>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</si>
  <si>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</si>
  <si>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</si>
  <si>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</si>
  <si>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</si>
  <si>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</si>
  <si>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</si>
  <si>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</si>
  <si>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</si>
  <si>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レース中使用するアイテム(spi/whisker pole/bowsprit)：</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</si>
  <si>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</si>
  <si>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</si>
  <si>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</si>
  <si>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</si>
  <si>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</si>
  <si>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</si>
  <si>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</si>
  <si>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</si>
  <si>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</si>
  <si>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</si>
  <si>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</si>
  <si>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</si>
  <si>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</si>
  <si>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</si>
  <si>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max agua(kg) por banda</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</si>
  <si>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</si>
  <si>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</si>
  <si>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</si>
  <si>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</si>
  <si>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</si>
  <si>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</si>
  <si>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</si>
  <si>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</si>
  <si>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</si>
  <si>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</si>
  <si>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</si>
  <si>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</si>
  <si>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</si>
  <si>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</si>
  <si>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</si>
  <si>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</si>
  <si>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</si>
  <si>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</si>
  <si>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</si>
  <si>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</si>
  <si>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</si>
  <si>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</si>
  <si>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</si>
  <si>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</si>
  <si>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</si>
  <si>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</si>
  <si>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</si>
  <si>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</si>
  <si>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</si>
  <si>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</si>
  <si>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</si>
  <si>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</si>
  <si>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</si>
  <si>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</si>
  <si>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</si>
  <si>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</si>
  <si>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</si>
  <si>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</si>
  <si>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</si>
  <si>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</si>
  <si>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</si>
  <si>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</si>
  <si>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</si>
  <si>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</si>
  <si>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</si>
  <si>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</si>
  <si>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</si>
  <si>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</si>
  <si>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</si>
  <si>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</si>
  <si>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</si>
  <si>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</si>
  <si>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</si>
  <si>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</si>
  <si>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</si>
  <si>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</si>
  <si>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</si>
  <si>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</si>
  <si>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</si>
  <si>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</si>
  <si>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UNCL North/Nord</t>
  </si>
  <si>
    <t>UNCL South/Sud</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</si>
  <si>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</si>
  <si>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</si>
  <si>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</si>
  <si>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</si>
  <si>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</si>
  <si>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</si>
  <si>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</si>
  <si>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</si>
  <si>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</si>
  <si>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</si>
  <si>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</si>
  <si>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</si>
  <si>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</si>
  <si>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</si>
  <si>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</si>
  <si>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</si>
  <si>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</si>
  <si>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</si>
  <si>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</si>
  <si>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</si>
  <si>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</si>
  <si>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</si>
  <si>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</si>
  <si>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</si>
  <si>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</si>
  <si>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</si>
  <si>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</si>
  <si>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</si>
  <si>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</si>
  <si>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</si>
  <si>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</si>
  <si>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</si>
  <si>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</si>
  <si>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</si>
  <si>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</si>
  <si>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</si>
  <si>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</si>
  <si>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</si>
  <si>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</si>
  <si>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</si>
  <si>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</si>
  <si>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</si>
  <si>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</si>
  <si>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</si>
  <si>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</si>
  <si>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</si>
  <si>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</si>
  <si>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</si>
  <si>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</si>
  <si>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</si>
  <si>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</si>
  <si>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</si>
  <si>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</si>
  <si>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</si>
  <si>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</si>
  <si>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</si>
  <si>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</si>
  <si>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</si>
  <si>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</si>
  <si>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</si>
  <si>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</si>
  <si>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</si>
  <si>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</si>
  <si>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</si>
  <si>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</si>
  <si>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</si>
  <si>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</si>
  <si>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</si>
  <si>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</si>
  <si>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</si>
  <si>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</si>
  <si>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</si>
  <si>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</si>
  <si>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</si>
  <si>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</si>
  <si>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</si>
  <si>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</si>
  <si>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</si>
  <si>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</si>
  <si>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</si>
  <si>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</si>
  <si>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</si>
  <si>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</si>
  <si>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</si>
  <si>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</si>
  <si>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</si>
  <si>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</si>
  <si>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</si>
  <si>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</si>
  <si>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</si>
  <si>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</si>
  <si>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</si>
  <si>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</si>
  <si>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</si>
  <si>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</si>
  <si>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</si>
  <si>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</si>
  <si>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</si>
  <si>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</si>
  <si>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</si>
  <si>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</si>
  <si>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</si>
  <si>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</si>
  <si>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</si>
  <si>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</si>
  <si>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</si>
  <si>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</si>
  <si>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</si>
  <si>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</si>
  <si>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</si>
  <si>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</si>
  <si>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</si>
  <si>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</si>
  <si>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</si>
  <si>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</si>
  <si>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</si>
  <si>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</si>
  <si>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</si>
  <si>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</si>
  <si>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</si>
  <si>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</si>
  <si>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</si>
  <si>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</si>
  <si>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</si>
  <si>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</si>
  <si>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</si>
  <si>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</si>
  <si>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</si>
  <si>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</si>
  <si>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</si>
  <si>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</si>
  <si>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</si>
  <si>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</si>
  <si>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</si>
  <si>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</si>
  <si>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</si>
  <si>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</si>
  <si>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</si>
  <si>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</si>
  <si>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</si>
  <si>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Cant degs</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</si>
  <si>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</si>
  <si>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</si>
  <si>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</si>
  <si>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</si>
  <si>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</si>
  <si>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</si>
  <si>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</si>
  <si>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</si>
  <si>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Longitud del tangón o botalón. (ver def.)</t>
  </si>
  <si>
    <t>En regata, el barco utiliza (tangón / botalón)</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</si>
  <si>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</si>
  <si>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</si>
  <si>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</si>
  <si>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</si>
  <si>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</si>
  <si>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</si>
  <si>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</si>
  <si>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</si>
  <si>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</si>
  <si>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</si>
  <si>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</si>
  <si>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</si>
  <si>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</si>
  <si>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</si>
  <si>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</si>
  <si>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</si>
  <si>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</si>
  <si>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</si>
  <si>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</si>
  <si>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</si>
  <si>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</si>
  <si>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</si>
  <si>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</si>
  <si>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</si>
  <si>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</si>
  <si>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</si>
  <si>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</si>
  <si>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</si>
  <si>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</si>
  <si>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</si>
  <si>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</si>
  <si>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</si>
  <si>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</si>
  <si>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</si>
  <si>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</si>
  <si>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</si>
  <si>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</si>
  <si>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</si>
  <si>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</si>
  <si>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</si>
  <si>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</si>
  <si>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</si>
  <si>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</si>
  <si>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</si>
  <si>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</si>
  <si>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</si>
  <si>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</si>
  <si>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</si>
  <si>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</si>
  <si>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</si>
  <si>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</si>
  <si>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</si>
  <si>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</si>
  <si>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</si>
  <si>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</si>
  <si>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</si>
  <si>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</si>
  <si>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</si>
  <si>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</si>
  <si>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</si>
  <si>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</si>
  <si>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</si>
  <si>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</si>
  <si>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</si>
  <si>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</si>
  <si>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</si>
  <si>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</si>
  <si>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</si>
  <si>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</si>
  <si>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</si>
  <si>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</si>
  <si>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</si>
  <si>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</si>
  <si>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</si>
  <si>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</si>
  <si>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</si>
  <si>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</si>
  <si>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</si>
  <si>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</si>
  <si>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</si>
  <si>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</si>
  <si>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</si>
  <si>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</si>
  <si>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</si>
  <si>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</si>
  <si>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</si>
  <si>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</si>
  <si>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</si>
  <si>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</si>
  <si>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</si>
  <si>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</si>
  <si>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</si>
  <si>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</si>
  <si>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</si>
  <si>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</si>
  <si>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</si>
  <si>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</si>
  <si>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</si>
  <si>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</si>
  <si>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</si>
  <si>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</si>
  <si>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</si>
  <si>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</si>
  <si>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</si>
  <si>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</si>
  <si>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</si>
  <si>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</si>
  <si>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</si>
  <si>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</si>
  <si>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</si>
  <si>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</si>
  <si>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</si>
  <si>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</si>
  <si>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</si>
  <si>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</si>
  <si>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</si>
  <si>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</si>
  <si>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</si>
  <si>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</si>
  <si>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</si>
  <si>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</si>
  <si>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</si>
  <si>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</si>
  <si>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</si>
  <si>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</si>
  <si>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</si>
  <si>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</si>
  <si>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</si>
  <si>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</si>
  <si>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</si>
  <si>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</si>
  <si>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</si>
  <si>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</si>
  <si>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</si>
  <si>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</si>
  <si>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</si>
  <si>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</si>
  <si>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</si>
  <si>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</si>
  <si>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</si>
  <si>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</si>
  <si>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</si>
  <si>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</si>
  <si>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</si>
  <si>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</si>
  <si>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</si>
  <si>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</si>
  <si>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</si>
  <si>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</si>
  <si>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</si>
  <si>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</si>
  <si>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</si>
  <si>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</si>
  <si>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</si>
  <si>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</si>
  <si>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</si>
  <si>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</si>
  <si>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</si>
  <si>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</si>
  <si>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</si>
  <si>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Lunghezza tangone o bompresso (vedi def.)</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</si>
  <si>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</si>
  <si>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</si>
  <si>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</si>
  <si>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</si>
  <si>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</si>
  <si>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</si>
  <si>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</si>
  <si>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</si>
  <si>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</si>
  <si>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</si>
  <si>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</si>
  <si>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</si>
  <si>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</si>
  <si>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</si>
  <si>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</si>
  <si>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</si>
  <si>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</si>
  <si>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</si>
  <si>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</si>
  <si>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</si>
  <si>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</si>
  <si>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</si>
  <si>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</si>
  <si>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</si>
  <si>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</si>
  <si>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</si>
  <si>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</si>
  <si>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</si>
  <si>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</si>
  <si>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</si>
  <si>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</si>
  <si>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</si>
  <si>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</si>
  <si>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</si>
  <si>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</si>
  <si>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</si>
  <si>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</si>
  <si>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</si>
  <si>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</si>
  <si>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</si>
  <si>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</si>
  <si>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</si>
  <si>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</si>
  <si>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</si>
  <si>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</si>
  <si>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</si>
  <si>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</si>
  <si>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</si>
  <si>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</si>
  <si>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</si>
  <si>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</si>
  <si>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</si>
  <si>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</si>
  <si>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</si>
  <si>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</si>
  <si>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</si>
  <si>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</si>
  <si>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</si>
  <si>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</si>
  <si>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</si>
  <si>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</si>
  <si>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</si>
  <si>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</si>
  <si>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</si>
  <si>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</si>
  <si>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</si>
  <si>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</si>
  <si>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</si>
  <si>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</si>
  <si>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</si>
  <si>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</si>
  <si>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</si>
  <si>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</si>
  <si>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</si>
  <si>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</si>
  <si>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</si>
  <si>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</si>
  <si>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</si>
  <si>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</si>
  <si>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</si>
  <si>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</si>
  <si>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</si>
  <si>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</si>
  <si>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</si>
  <si>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</si>
  <si>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</si>
  <si>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</si>
  <si>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</si>
  <si>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</si>
  <si>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</si>
  <si>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</si>
  <si>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</si>
  <si>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</si>
  <si>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</si>
  <si>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</si>
  <si>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</si>
  <si>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</si>
  <si>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</si>
  <si>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</si>
  <si>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</si>
  <si>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</si>
  <si>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</si>
  <si>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autre (merci de preciser)</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</si>
  <si>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</si>
  <si>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</si>
  <si>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</si>
  <si>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</si>
  <si>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</si>
  <si>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</si>
  <si>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</si>
  <si>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</si>
  <si>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</si>
  <si>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</si>
  <si>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</si>
  <si>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</si>
  <si>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</si>
  <si>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</si>
  <si>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</si>
  <si>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</si>
  <si>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</si>
  <si>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</si>
  <si>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</si>
  <si>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</si>
  <si>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</si>
  <si>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</si>
  <si>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</si>
  <si>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</si>
  <si>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</si>
  <si>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</si>
  <si>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</si>
  <si>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</si>
  <si>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</si>
  <si>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</si>
  <si>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</si>
  <si>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</si>
  <si>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</si>
  <si>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</si>
  <si>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</si>
  <si>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</si>
  <si>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</si>
  <si>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</si>
  <si>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</si>
  <si>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</si>
  <si>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</si>
  <si>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</si>
  <si>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</si>
  <si>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</si>
  <si>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</si>
  <si>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</si>
  <si>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</si>
  <si>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</si>
  <si>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</si>
  <si>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</si>
  <si>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</si>
  <si>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</si>
  <si>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</si>
  <si>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</si>
  <si>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</si>
  <si>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</si>
  <si>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En course, le bateau utilise (tangon / bout dehors)</t>
  </si>
  <si>
    <t>Zone Pays</t>
  </si>
  <si>
    <t>area country</t>
  </si>
  <si>
    <t>country</t>
  </si>
  <si>
    <t>Guindant voile d'avant</t>
  </si>
  <si>
    <t>Lest mobile, angle de gîte maximum - lest décentré au maximum. Note: ne s'applique pas pour les ballast.</t>
  </si>
  <si>
    <t>Nota non si applica per zavorre liquide.</t>
  </si>
  <si>
    <t>Zavorra mobile/basculante, max angolo di sbandamento con zavorra tutta da un lato. Nota non si applica per zavorre liquide</t>
  </si>
  <si>
    <t>STL*</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</si>
  <si>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</si>
  <si>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</si>
  <si>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</si>
  <si>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</si>
  <si>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</si>
  <si>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</si>
  <si>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</si>
  <si>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</si>
  <si>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</si>
  <si>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</si>
  <si>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</si>
  <si>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</si>
  <si>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</si>
  <si>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</si>
  <si>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Ensure you have supplied STL</t>
  </si>
  <si>
    <t>Assurez-vous d'avoir renseigné STL</t>
  </si>
  <si>
    <t>Assicuratevi di aver indicato STL</t>
  </si>
  <si>
    <t>Asegurese de haber proporcionado el STL</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</si>
  <si>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</si>
  <si>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</si>
  <si>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</si>
  <si>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</si>
  <si>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</si>
  <si>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</si>
  <si>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</si>
  <si>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</si>
  <si>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</si>
  <si>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</si>
  <si>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</si>
  <si>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</si>
  <si>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</si>
  <si>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</si>
  <si>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</si>
  <si>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</si>
  <si>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</si>
  <si>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</si>
  <si>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</si>
  <si>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Gracias por seleccionar las descripciones más pertientes. Si "otro" detallar en comentarios o por separado</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</si>
  <si>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</si>
  <si>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</si>
  <si>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</si>
  <si>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</si>
  <si>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</si>
  <si>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</si>
  <si>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</si>
  <si>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</si>
  <si>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</si>
  <si>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</si>
  <si>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</si>
  <si>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</si>
  <si>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</si>
  <si>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</si>
  <si>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</si>
  <si>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</si>
  <si>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</si>
  <si>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</si>
  <si>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</si>
  <si>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</si>
  <si>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</si>
  <si>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</si>
  <si>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</si>
  <si>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</si>
  <si>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</si>
  <si>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</si>
  <si>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</si>
  <si>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</si>
  <si>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</si>
  <si>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</si>
  <si>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</si>
  <si>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</si>
  <si>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</si>
  <si>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</si>
  <si>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</si>
  <si>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</si>
  <si>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</si>
  <si>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</si>
  <si>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</si>
  <si>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</si>
  <si>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</si>
  <si>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</si>
  <si>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</si>
  <si>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</si>
  <si>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</si>
  <si>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</si>
  <si>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</si>
  <si>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</si>
  <si>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</si>
  <si>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</si>
  <si>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</si>
  <si>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</si>
  <si>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</si>
  <si>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</si>
  <si>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</si>
  <si>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</si>
  <si>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</si>
  <si>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</si>
  <si>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</si>
  <si>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</si>
  <si>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</si>
  <si>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</si>
  <si>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</si>
  <si>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</si>
  <si>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</si>
  <si>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</si>
  <si>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</si>
  <si>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</si>
  <si>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</si>
  <si>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</si>
  <si>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</si>
  <si>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</si>
  <si>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</si>
  <si>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</si>
  <si>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</si>
  <si>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</si>
  <si>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</si>
  <si>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</si>
  <si>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</si>
  <si>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</si>
  <si>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</si>
  <si>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</si>
  <si>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</si>
  <si>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</si>
  <si>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</si>
  <si>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</si>
  <si>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</si>
  <si>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</si>
  <si>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</si>
  <si>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</si>
  <si>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</si>
  <si>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</si>
  <si>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</si>
  <si>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</si>
  <si>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</si>
  <si>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</si>
  <si>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</si>
  <si>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</si>
  <si>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</si>
  <si>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</si>
  <si>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</si>
  <si>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</si>
  <si>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</si>
  <si>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</si>
  <si>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</si>
  <si>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</si>
  <si>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</si>
  <si>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</si>
  <si>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</si>
  <si>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</si>
  <si>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</si>
  <si>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</si>
  <si>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</si>
  <si>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</si>
  <si>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</si>
  <si>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</si>
  <si>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</si>
  <si>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</si>
  <si>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</si>
  <si>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</si>
  <si>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</si>
  <si>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</si>
  <si>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</si>
  <si>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</si>
  <si>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</si>
  <si>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</si>
  <si>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</si>
  <si>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</si>
  <si>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</si>
  <si>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</si>
  <si>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</si>
  <si>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</si>
  <si>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</si>
  <si>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</si>
  <si>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</si>
  <si>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</si>
  <si>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</si>
  <si>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</si>
  <si>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</si>
  <si>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</si>
  <si>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</si>
  <si>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</si>
  <si>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</si>
  <si>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</si>
  <si>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</si>
  <si>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</si>
  <si>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PUPPETEER 22</t>
  </si>
  <si>
    <t>PUPPETEER 330S</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</si>
  <si>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</si>
  <si>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</si>
  <si>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</si>
  <si>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</si>
  <si>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</si>
  <si>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</si>
  <si>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</si>
  <si>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</si>
  <si>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</si>
  <si>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</si>
  <si>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</si>
  <si>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</si>
  <si>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</si>
  <si>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</si>
  <si>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</si>
  <si>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</si>
  <si>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</si>
  <si>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</si>
  <si>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</si>
  <si>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</si>
  <si>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</si>
  <si>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</si>
  <si>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</si>
  <si>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</si>
  <si>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</si>
  <si>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</si>
  <si>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</si>
  <si>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</si>
  <si>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</si>
  <si>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</si>
  <si>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</si>
  <si>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</si>
  <si>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</si>
  <si>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</si>
  <si>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</si>
  <si>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</si>
  <si>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</si>
  <si>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</si>
  <si>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</si>
  <si>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</si>
  <si>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</si>
  <si>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</si>
  <si>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</si>
  <si>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</si>
  <si>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</si>
  <si>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</si>
  <si>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</si>
  <si>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</si>
  <si>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</si>
  <si>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</si>
  <si>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</si>
  <si>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</si>
  <si>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</si>
  <si>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</si>
  <si>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</si>
  <si>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</si>
  <si>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</si>
  <si>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</si>
  <si>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</si>
  <si>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</si>
  <si>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</si>
  <si>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</si>
  <si>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</si>
  <si>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</si>
  <si>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</si>
  <si>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</si>
  <si>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</si>
  <si>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</si>
  <si>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</si>
  <si>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</si>
  <si>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</si>
  <si>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</si>
  <si>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</si>
  <si>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</si>
  <si>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</si>
  <si>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</si>
  <si>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</si>
  <si>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</si>
  <si>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</si>
  <si>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Please select the most suitable description from each category.  If "other" give details in the box at the end of this form</t>
  </si>
  <si>
    <t>Lastre móvil, angulo de inclinación - lastre descentrado como máximo. Nota: no se aplica para el lastre de agua.</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</si>
  <si>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</si>
  <si>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</si>
  <si>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</si>
  <si>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</si>
  <si>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</si>
  <si>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</si>
  <si>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</si>
  <si>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</si>
  <si>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</si>
  <si>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</si>
  <si>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</si>
  <si>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</si>
  <si>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</si>
  <si>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</si>
  <si>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</si>
  <si>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</si>
  <si>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</si>
  <si>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</si>
  <si>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</si>
  <si>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</si>
  <si>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</si>
  <si>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</si>
  <si>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</si>
  <si>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</si>
  <si>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</si>
  <si>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</si>
  <si>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</si>
  <si>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</si>
  <si>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</si>
  <si>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</si>
  <si>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</si>
  <si>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</si>
  <si>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</si>
  <si>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</si>
  <si>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</si>
  <si>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</si>
  <si>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</si>
  <si>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</si>
  <si>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</si>
  <si>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</si>
  <si>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</si>
  <si>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</si>
  <si>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</si>
  <si>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</si>
  <si>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</si>
  <si>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</si>
  <si>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</si>
  <si>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</si>
  <si>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molto esotico</t>
  </si>
  <si>
    <t>sandwich carbonio</t>
  </si>
  <si>
    <t>sandwich vetro</t>
  </si>
  <si>
    <t>vetroresina monolitica</t>
  </si>
  <si>
    <t>alluminio</t>
  </si>
  <si>
    <t>legno lamellare</t>
  </si>
  <si>
    <t>compensato</t>
  </si>
  <si>
    <t>legno massello</t>
  </si>
  <si>
    <t>acciaio</t>
  </si>
  <si>
    <r>
      <t xml:space="preserve">Consulter les règles et informations techniques sur </t>
    </r>
    <r>
      <rPr>
        <sz val="10"/>
        <rFont val="Arial"/>
        <family val="2"/>
      </rPr>
      <t>www.uncl.com</t>
    </r>
    <r>
      <rPr>
        <sz val="10"/>
        <rFont val="Arial"/>
        <family val="2"/>
      </rPr>
      <t xml:space="preserve"> ou sur </t>
    </r>
    <r>
      <rPr>
        <sz val="10"/>
        <rFont val="Arial"/>
        <family val="2"/>
      </rPr>
      <t>www.ircrating.org</t>
    </r>
  </si>
  <si>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</si>
  <si>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</si>
  <si>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</si>
  <si>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</si>
  <si>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</si>
  <si>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</si>
  <si>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</si>
  <si>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</si>
  <si>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</si>
  <si>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</si>
  <si>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</si>
  <si>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</si>
  <si>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</si>
  <si>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</si>
  <si>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</si>
  <si>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</si>
  <si>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</si>
  <si>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</si>
  <si>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</si>
  <si>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</si>
  <si>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</si>
  <si>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</si>
  <si>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</si>
  <si>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</si>
  <si>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</si>
  <si>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</si>
  <si>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</si>
  <si>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</si>
  <si>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</si>
  <si>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</si>
  <si>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</si>
  <si>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</si>
  <si>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</si>
  <si>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</si>
  <si>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</si>
  <si>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</si>
  <si>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</si>
  <si>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</si>
  <si>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</si>
  <si>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</si>
  <si>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</si>
  <si>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</si>
  <si>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</si>
  <si>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</si>
  <si>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</si>
  <si>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</si>
  <si>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</si>
  <si>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</si>
  <si>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</si>
  <si>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</si>
  <si>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</si>
  <si>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</si>
  <si>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</si>
  <si>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</si>
  <si>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</si>
  <si>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</si>
  <si>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</si>
  <si>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</si>
  <si>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</si>
  <si>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</si>
  <si>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</si>
  <si>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</si>
  <si>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</si>
  <si>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</si>
  <si>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</si>
  <si>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</si>
  <si>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</si>
  <si>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</si>
  <si>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</si>
  <si>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</si>
  <si>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</si>
  <si>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</si>
  <si>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</si>
  <si>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</si>
  <si>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</si>
  <si>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</si>
  <si>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</si>
  <si>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</si>
  <si>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</si>
  <si>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</si>
  <si>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</si>
  <si>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</si>
  <si>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</si>
  <si>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</si>
  <si>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</si>
  <si>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muy exotico (ej: Nomex)</t>
  </si>
  <si>
    <t>sandwich carbono</t>
  </si>
  <si>
    <t>sandwich fibra vidrio</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</si>
  <si>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</si>
  <si>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</si>
  <si>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</si>
  <si>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</si>
  <si>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</si>
  <si>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</si>
  <si>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</si>
  <si>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</si>
  <si>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</si>
  <si>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</si>
  <si>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</si>
  <si>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</si>
  <si>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</si>
  <si>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</si>
  <si>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</si>
  <si>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</si>
  <si>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</si>
  <si>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</si>
  <si>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</si>
  <si>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</si>
  <si>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</si>
  <si>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</si>
  <si>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</si>
  <si>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</si>
  <si>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</si>
  <si>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</si>
  <si>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</si>
  <si>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</si>
  <si>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</si>
  <si>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</si>
  <si>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</si>
  <si>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</si>
  <si>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</si>
  <si>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</si>
  <si>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</si>
  <si>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</si>
  <si>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</si>
  <si>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</si>
  <si>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</si>
  <si>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</si>
  <si>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</si>
  <si>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</si>
  <si>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</si>
  <si>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</si>
  <si>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</si>
  <si>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</si>
  <si>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</si>
  <si>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</si>
  <si>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</si>
  <si>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</si>
  <si>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</si>
  <si>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</si>
  <si>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</si>
  <si>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</si>
  <si>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</si>
  <si>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</si>
  <si>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</si>
  <si>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</si>
  <si>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</si>
  <si>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</si>
  <si>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</si>
  <si>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</si>
  <si>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</si>
  <si>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</si>
  <si>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</si>
  <si>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</si>
  <si>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</si>
  <si>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</si>
  <si>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</si>
  <si>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</si>
  <si>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</si>
  <si>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</si>
  <si>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</si>
  <si>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</si>
  <si>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</si>
  <si>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</si>
  <si>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</si>
  <si>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</si>
  <si>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</si>
  <si>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</si>
  <si>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</si>
  <si>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</si>
  <si>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</si>
  <si>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</si>
  <si>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</si>
  <si>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</si>
  <si>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</si>
  <si>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</si>
  <si>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</si>
  <si>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</si>
  <si>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</si>
  <si>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</si>
  <si>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</si>
  <si>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</si>
  <si>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</si>
  <si>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</si>
  <si>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</si>
  <si>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</si>
  <si>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Numero TOTALE di vele di prua imbarcate che possono essere usate in regata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</si>
  <si>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</si>
  <si>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</si>
  <si>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</si>
  <si>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</si>
  <si>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</si>
  <si>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</si>
  <si>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</si>
  <si>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</si>
  <si>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</si>
  <si>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</si>
  <si>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</si>
  <si>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</si>
  <si>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</si>
  <si>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</si>
  <si>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</si>
  <si>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</si>
  <si>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</si>
  <si>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</si>
  <si>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</si>
  <si>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</si>
  <si>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</si>
  <si>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</si>
  <si>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</si>
  <si>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</si>
  <si>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</si>
  <si>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</si>
  <si>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</si>
  <si>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</si>
  <si>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</si>
  <si>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</si>
  <si>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</si>
  <si>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</si>
  <si>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</si>
  <si>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</si>
  <si>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</si>
  <si>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</si>
  <si>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</si>
  <si>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</si>
  <si>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</si>
  <si>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</si>
  <si>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</si>
  <si>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</si>
  <si>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</si>
  <si>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</si>
  <si>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</si>
  <si>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</si>
  <si>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</si>
  <si>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</si>
  <si>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</si>
  <si>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</si>
  <si>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</si>
  <si>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</si>
  <si>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</si>
  <si>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</si>
  <si>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</si>
  <si>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</si>
  <si>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</si>
  <si>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</si>
  <si>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</si>
  <si>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</si>
  <si>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</si>
  <si>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</si>
  <si>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</si>
  <si>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</si>
  <si>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</si>
  <si>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</si>
  <si>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</si>
  <si>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</si>
  <si>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</si>
  <si>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</si>
  <si>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</si>
  <si>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</si>
  <si>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</si>
  <si>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</si>
  <si>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</si>
  <si>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</si>
  <si>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</si>
  <si>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</si>
  <si>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</si>
  <si>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</si>
  <si>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</si>
  <si>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</si>
  <si>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</si>
  <si>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</si>
  <si>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</si>
  <si>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</si>
  <si>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</si>
  <si>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</si>
  <si>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</si>
  <si>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</si>
  <si>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</si>
  <si>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</si>
  <si>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</si>
  <si>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</si>
  <si>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</si>
  <si>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</si>
  <si>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</si>
  <si>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</si>
  <si>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</si>
  <si>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</si>
  <si>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</si>
  <si>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</si>
  <si>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</si>
  <si>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</si>
  <si>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</si>
  <si>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</si>
  <si>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</si>
  <si>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</si>
  <si>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</si>
  <si>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</si>
  <si>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</si>
  <si>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</si>
  <si>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</si>
  <si>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</si>
  <si>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</si>
  <si>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</si>
  <si>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</si>
  <si>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</si>
  <si>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</si>
  <si>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</si>
  <si>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</si>
  <si>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</si>
  <si>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</si>
  <si>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</si>
  <si>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</si>
  <si>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</si>
  <si>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</si>
  <si>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</si>
  <si>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</si>
  <si>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</si>
  <si>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</si>
  <si>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</si>
  <si>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</si>
  <si>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</si>
  <si>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</si>
  <si>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</si>
  <si>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</si>
  <si>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</si>
  <si>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</si>
  <si>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</si>
  <si>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</si>
  <si>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</si>
  <si>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</si>
  <si>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</si>
  <si>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</si>
  <si>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</si>
  <si>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</si>
  <si>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</si>
  <si>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</si>
  <si>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</si>
  <si>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</si>
  <si>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</si>
  <si>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</si>
  <si>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</si>
  <si>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</si>
  <si>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</si>
  <si>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</si>
  <si>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</si>
  <si>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7.5% LP =</t>
  </si>
  <si>
    <t>FootOffset</t>
  </si>
  <si>
    <r>
      <t xml:space="preserve">Headsail Foot Offset </t>
    </r>
    <r>
      <rPr>
        <b/>
        <sz val="9"/>
        <color indexed="10"/>
        <rFont val="Arial"/>
        <family val="2"/>
      </rPr>
      <t>if &gt;7.5% LP</t>
    </r>
  </si>
  <si>
    <t>If YES: You do not need to complete the cells shaded grey below. Please give all other information.</t>
  </si>
  <si>
    <t>otro (gracias por precisar)</t>
  </si>
  <si>
    <t>Redondeado</t>
  </si>
  <si>
    <t>Tipo de jarcia</t>
  </si>
  <si>
    <t>solamente botalon</t>
  </si>
  <si>
    <t>Tangon y/ó Jockey pole</t>
  </si>
  <si>
    <t>Tangon y botalon</t>
  </si>
  <si>
    <t>Solamente tangon para velas de proa (no spis)</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</si>
  <si>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</si>
  <si>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</si>
  <si>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</si>
  <si>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</si>
  <si>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</si>
  <si>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</si>
  <si>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</si>
  <si>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</si>
  <si>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</si>
  <si>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</si>
  <si>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</si>
  <si>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</si>
  <si>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</si>
  <si>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</si>
  <si>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</si>
  <si>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</si>
  <si>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</si>
  <si>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</si>
  <si>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</si>
  <si>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</si>
  <si>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</si>
  <si>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</si>
  <si>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</si>
  <si>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</si>
  <si>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</si>
  <si>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</si>
  <si>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</si>
  <si>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</si>
  <si>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</si>
  <si>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</si>
  <si>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</si>
  <si>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</si>
  <si>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</si>
  <si>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roller furlingヘッドセール装備？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</si>
  <si>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</si>
  <si>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</si>
  <si>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</si>
  <si>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</si>
  <si>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</si>
  <si>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</si>
  <si>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</si>
  <si>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</si>
  <si>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</si>
  <si>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</si>
  <si>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</si>
  <si>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</si>
  <si>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</si>
  <si>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</si>
  <si>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</si>
  <si>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</si>
  <si>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</si>
  <si>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</si>
  <si>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</si>
  <si>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</si>
  <si>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</si>
  <si>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</si>
  <si>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</si>
  <si>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</si>
  <si>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</si>
  <si>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</si>
  <si>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</si>
  <si>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</si>
  <si>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</si>
  <si>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</si>
  <si>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</si>
  <si>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</si>
  <si>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</si>
  <si>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</si>
  <si>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</si>
  <si>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</si>
  <si>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</si>
  <si>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</si>
  <si>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</si>
  <si>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</si>
  <si>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</si>
  <si>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</si>
  <si>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</si>
  <si>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</si>
  <si>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</si>
  <si>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</si>
  <si>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</si>
  <si>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</si>
  <si>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</si>
  <si>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</si>
  <si>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</si>
  <si>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</si>
  <si>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</si>
  <si>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</si>
  <si>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</si>
  <si>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</si>
  <si>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</si>
  <si>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</si>
  <si>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</si>
  <si>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</si>
  <si>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</si>
  <si>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</si>
  <si>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</si>
  <si>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</si>
  <si>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</si>
  <si>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</si>
  <si>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</si>
  <si>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</si>
  <si>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</si>
  <si>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</si>
  <si>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</si>
  <si>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</si>
  <si>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</si>
  <si>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</si>
  <si>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</si>
  <si>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</si>
  <si>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</si>
  <si>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</si>
  <si>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</si>
  <si>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</si>
  <si>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</si>
  <si>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</si>
  <si>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</si>
  <si>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</si>
  <si>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</si>
  <si>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</si>
  <si>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</si>
  <si>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</si>
  <si>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</si>
  <si>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</si>
  <si>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</si>
  <si>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</si>
  <si>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</si>
  <si>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</si>
  <si>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</si>
  <si>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</si>
  <si>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</si>
  <si>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</si>
  <si>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</si>
  <si>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</si>
  <si>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</si>
  <si>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</si>
  <si>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</si>
  <si>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</si>
  <si>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</si>
  <si>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</si>
  <si>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</si>
  <si>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</si>
  <si>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</si>
  <si>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</si>
  <si>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</si>
  <si>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</si>
  <si>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</si>
  <si>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</si>
  <si>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</si>
  <si>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</si>
  <si>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</si>
  <si>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</si>
  <si>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</si>
  <si>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</si>
  <si>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</si>
  <si>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</si>
  <si>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</si>
  <si>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</si>
  <si>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 xml:space="preserve">if none, input 0 </t>
  </si>
  <si>
    <t>Ninguno</t>
  </si>
  <si>
    <t>doble laterales retractiles</t>
  </si>
  <si>
    <t>Proa, pivotante (no controlable)</t>
  </si>
  <si>
    <t>sobre el canard</t>
  </si>
  <si>
    <t>canard con trimmer</t>
  </si>
  <si>
    <t>tope de mástil</t>
  </si>
  <si>
    <t>fraccionado</t>
  </si>
  <si>
    <t>ni tangon, ni botalon</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</si>
  <si>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</si>
  <si>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</si>
  <si>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</si>
  <si>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</si>
  <si>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</si>
  <si>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</si>
  <si>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</si>
  <si>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</si>
  <si>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</si>
  <si>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</si>
  <si>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</si>
  <si>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</si>
  <si>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</si>
  <si>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</si>
  <si>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</si>
  <si>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</si>
  <si>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</si>
  <si>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</si>
  <si>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</si>
  <si>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</si>
  <si>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</si>
  <si>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</si>
  <si>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</si>
  <si>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</si>
  <si>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</si>
  <si>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</si>
  <si>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</si>
  <si>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</si>
  <si>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</si>
  <si>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</si>
  <si>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</si>
  <si>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</si>
  <si>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Visa Debit</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</si>
  <si>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</si>
  <si>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</si>
  <si>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</si>
  <si>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</si>
  <si>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</si>
  <si>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</si>
  <si>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</si>
  <si>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</si>
  <si>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</si>
  <si>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</si>
  <si>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</si>
  <si>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</si>
  <si>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</si>
  <si>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</si>
  <si>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</si>
  <si>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</si>
  <si>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</si>
  <si>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</si>
  <si>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</si>
  <si>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</si>
  <si>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</si>
  <si>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</si>
  <si>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</si>
  <si>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</si>
  <si>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</si>
  <si>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</si>
  <si>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</si>
  <si>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</si>
  <si>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</si>
  <si>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</si>
  <si>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</si>
  <si>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</si>
  <si>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</si>
  <si>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</si>
  <si>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</si>
  <si>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</si>
  <si>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</si>
  <si>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</si>
  <si>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</si>
  <si>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</si>
  <si>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ni tangon, ni bout-dehors</t>
  </si>
  <si>
    <t>bout-dehors seulement</t>
  </si>
  <si>
    <t>Tangon et/ou Jockey pole</t>
  </si>
  <si>
    <t>Tangon et bout dehors</t>
  </si>
  <si>
    <t>bout-dehors articulé</t>
  </si>
  <si>
    <t>Tangon pour voiles d'avant seulement (pas de spi)</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</si>
  <si>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</si>
  <si>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</si>
  <si>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</si>
  <si>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</si>
  <si>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</si>
  <si>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</si>
  <si>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</si>
  <si>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</si>
  <si>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</si>
  <si>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</si>
  <si>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</si>
  <si>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</si>
  <si>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</si>
  <si>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</si>
  <si>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</si>
  <si>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</si>
  <si>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</si>
  <si>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</si>
  <si>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</si>
  <si>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</si>
  <si>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</si>
  <si>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</si>
  <si>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</si>
  <si>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</si>
  <si>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</si>
  <si>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</si>
  <si>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</si>
  <si>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</si>
  <si>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</si>
  <si>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</si>
  <si>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</si>
  <si>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</si>
  <si>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</si>
  <si>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</si>
  <si>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</si>
  <si>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</si>
  <si>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</si>
  <si>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</si>
  <si>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</si>
  <si>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</si>
  <si>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</si>
  <si>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</si>
  <si>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</si>
  <si>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</si>
  <si>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</si>
  <si>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</si>
  <si>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</si>
  <si>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</si>
  <si>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</si>
  <si>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</si>
  <si>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</si>
  <si>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</si>
  <si>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</si>
  <si>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</si>
  <si>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</si>
  <si>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</si>
  <si>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</si>
  <si>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</si>
  <si>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</si>
  <si>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</si>
  <si>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</si>
  <si>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</si>
  <si>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</si>
  <si>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</si>
  <si>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</si>
  <si>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</si>
  <si>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</si>
  <si>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</si>
  <si>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</si>
  <si>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</si>
  <si>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</si>
  <si>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</si>
  <si>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</si>
  <si>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</si>
  <si>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</si>
  <si>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</si>
  <si>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</si>
  <si>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</si>
  <si>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</si>
  <si>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</si>
  <si>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</si>
  <si>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</si>
  <si>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</si>
  <si>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</si>
  <si>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</si>
  <si>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</si>
  <si>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</si>
  <si>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</si>
  <si>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</si>
  <si>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</si>
  <si>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</si>
  <si>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</si>
  <si>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</si>
  <si>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</si>
  <si>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</si>
  <si>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</si>
  <si>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</si>
  <si>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</si>
  <si>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</si>
  <si>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</si>
  <si>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</si>
  <si>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Se nessuna, scrivere 0</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</si>
  <si>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</si>
  <si>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</si>
  <si>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</si>
  <si>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</si>
  <si>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</si>
  <si>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</si>
  <si>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</si>
  <si>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</si>
  <si>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</si>
  <si>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</si>
  <si>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</si>
  <si>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</si>
  <si>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</si>
  <si>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</si>
  <si>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</si>
  <si>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</si>
  <si>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</si>
  <si>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</si>
  <si>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</si>
  <si>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</si>
  <si>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</si>
  <si>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</si>
  <si>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</si>
  <si>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</si>
  <si>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</si>
  <si>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</si>
  <si>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</si>
  <si>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</si>
  <si>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</si>
  <si>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</si>
  <si>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</si>
  <si>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</si>
  <si>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</si>
  <si>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</si>
  <si>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</si>
  <si>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</si>
  <si>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</si>
  <si>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</si>
  <si>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</si>
  <si>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</si>
  <si>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</si>
  <si>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</si>
  <si>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</si>
  <si>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</si>
  <si>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</si>
  <si>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</si>
  <si>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</si>
  <si>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</si>
  <si>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</si>
  <si>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</si>
  <si>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</si>
  <si>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</si>
  <si>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</si>
  <si>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</si>
  <si>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</si>
  <si>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</si>
  <si>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</si>
  <si>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</si>
  <si>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</si>
  <si>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</si>
  <si>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</si>
  <si>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</si>
  <si>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</si>
  <si>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</si>
  <si>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</si>
  <si>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</si>
  <si>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</si>
  <si>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</si>
  <si>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</si>
  <si>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</si>
  <si>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</si>
  <si>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</si>
  <si>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</si>
  <si>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</si>
  <si>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</si>
  <si>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</si>
  <si>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</si>
  <si>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</si>
  <si>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</si>
  <si>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</si>
  <si>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</si>
  <si>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</si>
  <si>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</si>
  <si>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</si>
  <si>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</si>
  <si>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</si>
  <si>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</si>
  <si>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</si>
  <si>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</si>
  <si>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</si>
  <si>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</si>
  <si>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</si>
  <si>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</si>
  <si>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</si>
  <si>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</si>
  <si>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</si>
  <si>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</si>
  <si>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</si>
  <si>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</si>
  <si>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</si>
  <si>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</si>
  <si>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</si>
  <si>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</si>
  <si>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</si>
  <si>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</si>
  <si>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</si>
  <si>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</si>
  <si>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</si>
  <si>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</si>
  <si>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</si>
  <si>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</si>
  <si>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</si>
  <si>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</si>
  <si>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</si>
  <si>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</si>
  <si>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</si>
  <si>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</si>
  <si>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</si>
  <si>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</si>
  <si>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</si>
  <si>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</si>
  <si>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</si>
  <si>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</si>
  <si>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</si>
  <si>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</si>
  <si>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</si>
  <si>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</si>
  <si>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</si>
  <si>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</si>
  <si>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</si>
  <si>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</si>
  <si>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</si>
  <si>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</si>
  <si>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</si>
  <si>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</si>
  <si>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</si>
  <si>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</si>
  <si>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</si>
  <si>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</si>
  <si>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</si>
  <si>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</si>
  <si>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</si>
  <si>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</si>
  <si>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</si>
  <si>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</si>
  <si>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</si>
  <si>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</si>
  <si>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</si>
  <si>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</si>
  <si>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</si>
  <si>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</si>
  <si>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</si>
  <si>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</si>
  <si>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</si>
  <si>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</si>
  <si>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</si>
  <si>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</si>
  <si>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</si>
  <si>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</si>
  <si>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 xml:space="preserve">P.f. selezionare la descrizione più appropriata. Se "altro", fornite dettagli nei commenti o separatamente </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</si>
  <si>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</si>
  <si>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</si>
  <si>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</si>
  <si>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</si>
  <si>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</si>
  <si>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</si>
  <si>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</si>
  <si>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</si>
  <si>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Materiale dello scafo</t>
  </si>
  <si>
    <t>Allestimenti interni</t>
  </si>
  <si>
    <t>Materiale degli allestimenti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</si>
  <si>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</si>
  <si>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</si>
  <si>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</si>
  <si>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</si>
  <si>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</si>
  <si>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</si>
  <si>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</si>
  <si>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</si>
  <si>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</si>
  <si>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</si>
  <si>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</si>
  <si>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</si>
  <si>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</si>
  <si>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</si>
  <si>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</si>
  <si>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</si>
  <si>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</si>
  <si>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</si>
  <si>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</si>
  <si>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</si>
  <si>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</si>
  <si>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TOTAL No. of headsails carried that may be used when racing</t>
  </si>
  <si>
    <t>LP/J ratio. If less than 1.30 not eligible for furling allowance:</t>
  </si>
  <si>
    <t>LP/J inférieur à 1.30: pas de bonus enrouleur:</t>
  </si>
  <si>
    <t>E-mail address</t>
  </si>
  <si>
    <t>triple keels</t>
  </si>
  <si>
    <t>water ballast</t>
  </si>
  <si>
    <t xml:space="preserve">RORC member ?   </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</si>
  <si>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</si>
  <si>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</si>
  <si>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</si>
  <si>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</si>
  <si>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</si>
  <si>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</si>
  <si>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</si>
  <si>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</si>
  <si>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</si>
  <si>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</si>
  <si>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</si>
  <si>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</si>
  <si>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</si>
  <si>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</si>
  <si>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</si>
  <si>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</si>
  <si>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</si>
  <si>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</si>
  <si>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</si>
  <si>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</si>
  <si>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</si>
  <si>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</si>
  <si>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</si>
  <si>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</si>
  <si>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</si>
  <si>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</si>
  <si>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</si>
  <si>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</si>
  <si>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</si>
  <si>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</si>
  <si>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</si>
  <si>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</si>
  <si>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</si>
  <si>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</si>
  <si>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</si>
  <si>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</si>
  <si>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</si>
  <si>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</si>
  <si>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</si>
  <si>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</si>
  <si>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</si>
  <si>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</si>
  <si>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no tangone, no bompresso</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</si>
  <si>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</si>
  <si>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</si>
  <si>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</si>
  <si>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</si>
  <si>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</si>
  <si>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</si>
  <si>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</si>
  <si>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</si>
  <si>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</si>
  <si>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</si>
  <si>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</si>
  <si>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</si>
  <si>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</si>
  <si>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</si>
  <si>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</si>
  <si>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</si>
  <si>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</si>
  <si>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</si>
  <si>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</si>
  <si>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</si>
  <si>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</si>
  <si>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</si>
  <si>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</si>
  <si>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</si>
  <si>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</si>
  <si>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</si>
  <si>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</si>
  <si>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</si>
  <si>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</si>
  <si>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</si>
  <si>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</si>
  <si>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</si>
  <si>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</si>
  <si>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</si>
  <si>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</si>
  <si>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</si>
  <si>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</si>
  <si>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</si>
  <si>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</si>
  <si>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</si>
  <si>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</si>
  <si>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</si>
  <si>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</si>
  <si>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</si>
  <si>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</si>
  <si>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</si>
  <si>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</si>
  <si>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</si>
  <si>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</si>
  <si>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</si>
  <si>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</si>
  <si>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</si>
  <si>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</si>
  <si>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</si>
  <si>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</si>
  <si>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</si>
  <si>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</si>
  <si>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</si>
  <si>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</si>
  <si>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</si>
  <si>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</si>
  <si>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</si>
  <si>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</si>
  <si>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</si>
  <si>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</si>
  <si>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</si>
  <si>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</si>
  <si>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</si>
  <si>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</si>
  <si>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</si>
  <si>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</si>
  <si>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</si>
  <si>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</si>
  <si>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</si>
  <si>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</si>
  <si>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</si>
  <si>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</si>
  <si>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</si>
  <si>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</si>
  <si>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</si>
  <si>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</si>
  <si>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</si>
  <si>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sandwich carbone</t>
  </si>
  <si>
    <t>très exotique (exp: Nomex)</t>
  </si>
  <si>
    <t>Consultate le regole e le informazioni tecniche sul sito IRC</t>
  </si>
  <si>
    <t>Consulter las reglas e informaciones técnicas en la sitio IRC</t>
  </si>
  <si>
    <t>http://www.ircrating.org</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</si>
  <si>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</si>
  <si>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</si>
  <si>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</si>
  <si>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</si>
  <si>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上でポールのタイプを選択し、STL値を申告していること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</si>
  <si>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</si>
  <si>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</si>
  <si>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</si>
  <si>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</si>
  <si>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</si>
  <si>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</si>
  <si>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</si>
  <si>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</si>
  <si>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</si>
  <si>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</si>
  <si>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Longueur tangon ou bout dehors. (voir def.)</t>
  </si>
  <si>
    <t>Ketches/yawls seulement:    LL voile avant de mizaine</t>
  </si>
  <si>
    <t>3. Please leave any non-applicable cells blank, do not enter N/A.</t>
  </si>
  <si>
    <t>LVStart</t>
  </si>
  <si>
    <t>LVend</t>
  </si>
  <si>
    <t>LVEnd</t>
  </si>
  <si>
    <t>regata/crucero</t>
  </si>
  <si>
    <t>Tasmania (use Aus)</t>
  </si>
  <si>
    <t>Rudder</t>
  </si>
  <si>
    <t>Hull material</t>
  </si>
  <si>
    <t>Accommodation</t>
  </si>
  <si>
    <t>batts</t>
  </si>
  <si>
    <t>traditonal hung on keel</t>
  </si>
  <si>
    <t>cushions</t>
  </si>
  <si>
    <t>very exotic (eg Nomex)</t>
  </si>
  <si>
    <t>IRC book</t>
  </si>
  <si>
    <t>Trim tab</t>
  </si>
  <si>
    <t>glass sandwich</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</si>
  <si>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</si>
  <si>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</si>
  <si>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</si>
  <si>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</si>
  <si>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</si>
  <si>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</si>
  <si>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</si>
  <si>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</si>
  <si>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</si>
  <si>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</si>
  <si>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</si>
  <si>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</si>
  <si>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</si>
  <si>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</si>
  <si>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</si>
  <si>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</si>
  <si>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</si>
  <si>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</si>
  <si>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</si>
  <si>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</si>
  <si>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</si>
  <si>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</si>
  <si>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</si>
  <si>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</si>
  <si>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</si>
  <si>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</si>
  <si>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</si>
  <si>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</si>
  <si>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</si>
  <si>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</si>
  <si>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</si>
  <si>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</si>
  <si>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</si>
  <si>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</si>
  <si>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</si>
  <si>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</si>
  <si>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</si>
  <si>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</si>
  <si>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</si>
  <si>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</si>
  <si>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</si>
  <si>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</si>
  <si>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</si>
  <si>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</si>
  <si>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</si>
  <si>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</si>
  <si>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</si>
  <si>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</si>
  <si>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</si>
  <si>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</si>
  <si>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</si>
  <si>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</si>
  <si>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</si>
  <si>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</si>
  <si>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</si>
  <si>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</si>
  <si>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</si>
  <si>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</si>
  <si>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</si>
  <si>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</si>
  <si>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</si>
  <si>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</si>
  <si>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</si>
  <si>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</si>
  <si>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</si>
  <si>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</si>
  <si>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</si>
  <si>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</si>
  <si>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</si>
  <si>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</si>
  <si>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</si>
  <si>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</si>
  <si>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</si>
  <si>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</si>
  <si>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</si>
  <si>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</si>
  <si>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</si>
  <si>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</si>
  <si>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</si>
  <si>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</si>
  <si>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</si>
  <si>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</si>
  <si>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</si>
  <si>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</si>
  <si>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</si>
  <si>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</si>
  <si>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</si>
  <si>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</si>
  <si>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</si>
  <si>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</si>
  <si>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</si>
  <si>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</si>
  <si>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</si>
  <si>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</si>
  <si>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</si>
  <si>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</si>
  <si>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</si>
  <si>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</si>
  <si>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</si>
  <si>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</si>
  <si>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</si>
  <si>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</si>
  <si>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</si>
  <si>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</si>
  <si>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</si>
  <si>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</si>
  <si>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</si>
  <si>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</si>
  <si>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</si>
  <si>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</si>
  <si>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</si>
  <si>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Voile d'avant sur enrouleur?</t>
  </si>
  <si>
    <t>Si aucune, inscrire 0</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</si>
  <si>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</si>
  <si>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</si>
  <si>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</si>
  <si>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</si>
  <si>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</si>
  <si>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</si>
  <si>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</si>
  <si>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</si>
  <si>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</si>
  <si>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</si>
  <si>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</si>
  <si>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</si>
  <si>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</si>
  <si>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</si>
  <si>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</si>
  <si>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</si>
  <si>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</si>
  <si>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</si>
  <si>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</si>
  <si>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</si>
  <si>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</si>
  <si>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</si>
  <si>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</si>
  <si>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</si>
  <si>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</si>
  <si>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</si>
  <si>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</si>
  <si>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</si>
  <si>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</si>
  <si>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</si>
  <si>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</si>
  <si>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</si>
  <si>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</si>
  <si>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</si>
  <si>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</si>
  <si>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</si>
  <si>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</si>
  <si>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</si>
  <si>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</si>
  <si>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</si>
  <si>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</si>
  <si>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</si>
  <si>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</si>
  <si>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</si>
  <si>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</si>
  <si>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</si>
  <si>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other (specify)</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</si>
  <si>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</si>
  <si>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</si>
  <si>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</si>
  <si>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</si>
  <si>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</si>
  <si>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</si>
  <si>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</si>
  <si>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</si>
  <si>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</si>
  <si>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</si>
  <si>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</si>
  <si>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</si>
  <si>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</si>
  <si>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</si>
  <si>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</si>
  <si>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</si>
  <si>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</si>
  <si>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</si>
  <si>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</si>
  <si>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</si>
  <si>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</si>
  <si>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</si>
  <si>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</si>
  <si>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</si>
  <si>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</si>
  <si>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</si>
  <si>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</si>
  <si>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</si>
  <si>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</si>
  <si>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</si>
  <si>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</si>
  <si>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</si>
  <si>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</si>
  <si>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</si>
  <si>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</si>
  <si>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</si>
  <si>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</si>
  <si>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</si>
  <si>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</si>
  <si>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</si>
  <si>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</si>
  <si>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</si>
  <si>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</si>
  <si>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</si>
  <si>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</si>
  <si>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</si>
  <si>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</si>
  <si>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</si>
  <si>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</si>
  <si>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</si>
  <si>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</si>
  <si>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</si>
  <si>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</si>
  <si>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</si>
  <si>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</si>
  <si>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</si>
  <si>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</si>
  <si>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</si>
  <si>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</si>
  <si>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</si>
  <si>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</si>
  <si>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</si>
  <si>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</si>
  <si>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</si>
  <si>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</si>
  <si>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</si>
  <si>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</si>
  <si>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</si>
  <si>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</si>
  <si>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</si>
  <si>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</si>
  <si>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</si>
  <si>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</si>
  <si>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</si>
  <si>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</si>
  <si>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</si>
  <si>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</si>
  <si>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</si>
  <si>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</si>
  <si>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</si>
  <si>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</si>
  <si>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</si>
  <si>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</si>
  <si>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</si>
  <si>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</si>
  <si>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</si>
  <si>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</si>
  <si>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</si>
  <si>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</si>
  <si>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</si>
  <si>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</si>
  <si>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</si>
  <si>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</si>
  <si>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</si>
  <si>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</si>
  <si>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</si>
  <si>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</si>
  <si>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</si>
  <si>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</si>
  <si>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</si>
  <si>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</si>
  <si>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</si>
  <si>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</si>
  <si>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</si>
  <si>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</si>
  <si>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</si>
  <si>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</si>
  <si>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</si>
  <si>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</si>
  <si>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</si>
  <si>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</si>
  <si>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</si>
  <si>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</si>
  <si>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</si>
  <si>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</si>
  <si>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</si>
  <si>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</si>
  <si>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</si>
  <si>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</si>
  <si>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</si>
  <si>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</si>
  <si>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</si>
  <si>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</si>
  <si>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</si>
  <si>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</si>
  <si>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</si>
  <si>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</si>
  <si>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</si>
  <si>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</si>
  <si>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</si>
  <si>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</si>
  <si>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</si>
  <si>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</si>
  <si>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</si>
  <si>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</si>
  <si>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</si>
  <si>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See IRC website for rules and other technical information, before completing this form</t>
  </si>
  <si>
    <t>Year first boat of design launched</t>
  </si>
  <si>
    <t xml:space="preserve">Measurement drawings </t>
  </si>
  <si>
    <t>Link to standard hull list on ircrating.org</t>
  </si>
  <si>
    <t>Voir la feuille "IRC Keels" ou Guide IRC</t>
  </si>
  <si>
    <t>Vedere la scheda "IRC keels" o la Guida IRC</t>
  </si>
  <si>
    <t>Ver la hoja "IRC keels" ó la guía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</si>
  <si>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</si>
  <si>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</si>
  <si>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</si>
  <si>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</si>
  <si>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</si>
  <si>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</si>
  <si>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</si>
  <si>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</si>
  <si>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</si>
  <si>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</si>
  <si>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</si>
  <si>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</si>
  <si>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</si>
  <si>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</si>
  <si>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</si>
  <si>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</si>
  <si>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</si>
  <si>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</si>
  <si>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</si>
  <si>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</si>
  <si>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</si>
  <si>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</si>
  <si>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</si>
  <si>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</si>
  <si>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</si>
  <si>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</si>
  <si>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</si>
  <si>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</si>
  <si>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</si>
  <si>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</si>
  <si>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</si>
  <si>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</si>
  <si>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</si>
  <si>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</si>
  <si>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</si>
  <si>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</si>
  <si>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</si>
  <si>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</si>
  <si>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</si>
  <si>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</si>
  <si>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</si>
  <si>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</si>
  <si>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</si>
  <si>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</si>
  <si>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</si>
  <si>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</si>
  <si>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</si>
  <si>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</si>
  <si>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</si>
  <si>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</si>
  <si>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</si>
  <si>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</si>
  <si>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</si>
  <si>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</si>
  <si>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</si>
  <si>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</si>
  <si>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</si>
  <si>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</si>
  <si>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</si>
  <si>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</si>
  <si>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</si>
  <si>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</si>
  <si>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</si>
  <si>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</si>
  <si>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</si>
  <si>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</si>
  <si>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</si>
  <si>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</si>
  <si>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</si>
  <si>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</si>
  <si>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</si>
  <si>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</si>
  <si>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</si>
  <si>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</si>
  <si>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</si>
  <si>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</si>
  <si>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</si>
  <si>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</si>
  <si>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</si>
  <si>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</si>
  <si>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</si>
  <si>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</si>
  <si>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</si>
  <si>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</si>
  <si>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</si>
  <si>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</si>
  <si>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</si>
  <si>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</si>
  <si>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</si>
  <si>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</si>
  <si>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</si>
  <si>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</si>
  <si>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</si>
  <si>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</si>
  <si>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</si>
  <si>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</si>
  <si>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</si>
  <si>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masse d'eau (kg) par bord</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</si>
  <si>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</si>
  <si>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</si>
  <si>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</si>
  <si>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</si>
  <si>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</si>
  <si>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</si>
  <si>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</si>
  <si>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</si>
  <si>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</si>
  <si>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</si>
  <si>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</si>
  <si>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</si>
  <si>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</si>
  <si>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</si>
  <si>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</si>
  <si>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</si>
  <si>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</si>
  <si>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</si>
  <si>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</si>
  <si>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</si>
  <si>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</si>
  <si>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</si>
  <si>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</si>
  <si>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</si>
  <si>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</si>
  <si>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</si>
  <si>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</si>
  <si>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</si>
  <si>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</si>
  <si>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</si>
  <si>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</si>
  <si>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</si>
  <si>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</si>
  <si>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</si>
  <si>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</si>
  <si>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</si>
  <si>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</si>
  <si>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</si>
  <si>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</si>
  <si>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</si>
  <si>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</si>
  <si>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</si>
  <si>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</si>
  <si>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</si>
  <si>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</si>
  <si>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</si>
  <si>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</si>
  <si>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</si>
  <si>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</si>
  <si>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</si>
  <si>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</si>
  <si>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</si>
  <si>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</si>
  <si>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</si>
  <si>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</si>
  <si>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</si>
  <si>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</si>
  <si>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</si>
  <si>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</si>
  <si>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</si>
  <si>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</si>
  <si>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</si>
  <si>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</si>
  <si>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</si>
  <si>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</si>
  <si>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</si>
  <si>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</si>
  <si>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</si>
  <si>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</si>
  <si>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</si>
  <si>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</si>
  <si>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</si>
  <si>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</si>
  <si>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</si>
  <si>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</si>
  <si>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</si>
  <si>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</si>
  <si>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</si>
  <si>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</si>
  <si>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</si>
  <si>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</si>
  <si>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</si>
  <si>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</si>
  <si>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</si>
  <si>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</si>
  <si>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</si>
  <si>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</si>
  <si>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</si>
  <si>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</si>
  <si>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</si>
  <si>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</si>
  <si>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</si>
  <si>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When racing the yacht uses (spi/whisker pole/bowsprit) :</t>
  </si>
  <si>
    <t>SPINLOCK IRC RATING APPLICATION</t>
  </si>
  <si>
    <t xml:space="preserve">Demande de nouveau certificat Spinlock IRC </t>
  </si>
  <si>
    <t>FORESTAY: is your boat fitted with or carrying aboard systems to adjust the forestay length while racing?</t>
  </si>
  <si>
    <t>Website links:</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</si>
  <si>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</si>
  <si>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</si>
  <si>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</si>
  <si>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</si>
  <si>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</si>
  <si>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</si>
  <si>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Étai : votre bateau dispose-t-il d'un équipement permettant le réglage de la longueur d'étai en course ?</t>
  </si>
  <si>
    <t>STRALLO PRUA: la tua barca è dotata di o ha a bordo sistemi per regolare la lunghezza dello strallo di prua in regata?</t>
  </si>
  <si>
    <t>Estay: ¿su embarcación dispone de un equipo que permita el reglaje de la longitud del estay en regata?</t>
  </si>
  <si>
    <t>ELAN 350/360 E4 2.15</t>
  </si>
  <si>
    <t>ELAN 350/360 E4 2.35</t>
  </si>
  <si>
    <t>ELAN 350/360 S 2.15</t>
  </si>
  <si>
    <t>ELAN 350/360 S 2.35</t>
  </si>
  <si>
    <t>If you are unable to pay online please call 01590 677030 so we can advise you.</t>
  </si>
  <si>
    <t>Payment card type to move to hidden cells for overseas master</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</si>
  <si>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</si>
  <si>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</si>
  <si>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</si>
  <si>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</si>
  <si>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</si>
  <si>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</si>
  <si>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</si>
  <si>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</si>
  <si>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</si>
  <si>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</si>
  <si>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</si>
  <si>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</si>
  <si>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</si>
  <si>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</si>
  <si>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</si>
  <si>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</si>
  <si>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</si>
  <si>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</si>
  <si>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</si>
  <si>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</si>
  <si>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</si>
  <si>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</si>
  <si>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</si>
  <si>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</si>
  <si>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</si>
  <si>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</si>
  <si>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</si>
  <si>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</si>
  <si>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</si>
  <si>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</si>
  <si>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</si>
  <si>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</si>
  <si>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</si>
  <si>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</si>
  <si>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</si>
  <si>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</si>
  <si>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</si>
  <si>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</si>
  <si>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</si>
  <si>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</si>
  <si>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see drawings</t>
  </si>
  <si>
    <t>Changed for 2017. Click here to see new Definition of Aft rigging</t>
  </si>
  <si>
    <t>Link to aft rigging drawings</t>
  </si>
  <si>
    <t>図を参照</t>
    <rPh sb="0" eb="1">
      <t>ズ</t>
    </rPh>
    <rPh sb="2" eb="4">
      <t>サンショウ</t>
    </rPh>
    <phoneticPr fontId="134"/>
  </si>
  <si>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34"/>
  </si>
  <si>
    <t>アフトリギング図へのリンク</t>
    <rPh sb="7" eb="8">
      <t>ズ</t>
    </rPh>
    <phoneticPr fontId="134"/>
  </si>
  <si>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34"/>
  </si>
  <si>
    <t>Round the Island Race (1 day)</t>
  </si>
  <si>
    <t>Cowes Week (enter dates below)</t>
  </si>
  <si>
    <t>Panerai British Classic Week (8 days)</t>
  </si>
  <si>
    <t>Little Britain Challenge Cup (2 days)</t>
  </si>
  <si>
    <t>Single Event Rating events</t>
  </si>
  <si>
    <t>Voir schémas</t>
  </si>
  <si>
    <t>Ver dibujos</t>
  </si>
  <si>
    <t>Vedi disegni</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</si>
  <si>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</si>
  <si>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</si>
  <si>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</si>
  <si>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</si>
  <si>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</si>
  <si>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</si>
  <si>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</si>
  <si>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</si>
  <si>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</si>
  <si>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</si>
  <si>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</si>
  <si>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</si>
  <si>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</si>
  <si>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</si>
  <si>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</si>
  <si>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</si>
  <si>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</si>
  <si>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</si>
  <si>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</si>
  <si>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</si>
  <si>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</si>
  <si>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</si>
  <si>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</si>
  <si>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</si>
  <si>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</si>
  <si>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</si>
  <si>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</si>
  <si>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</si>
  <si>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</si>
  <si>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</si>
  <si>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</si>
  <si>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</si>
  <si>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</si>
  <si>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</si>
  <si>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</si>
  <si>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</si>
  <si>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</si>
  <si>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</si>
  <si>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</si>
  <si>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</si>
  <si>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</si>
  <si>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</si>
  <si>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</si>
  <si>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</si>
  <si>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</si>
  <si>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</si>
  <si>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</si>
  <si>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</si>
  <si>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Required. Eg. owner, measurer (name)</t>
  </si>
  <si>
    <t>A remplir. Eg propriétaire, mesureur (nom)</t>
  </si>
  <si>
    <t>Necessario. Eg proprietario, misuratore (nome)</t>
  </si>
  <si>
    <t>Necesario, eg propietario, medidor (nombre)</t>
  </si>
  <si>
    <t>If keel is not fixed down</t>
  </si>
  <si>
    <t>Min</t>
  </si>
  <si>
    <t>Does the boat have a canting keel?</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</si>
  <si>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</si>
  <si>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</si>
  <si>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</si>
  <si>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</si>
  <si>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</si>
  <si>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</si>
  <si>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If 'other' give details: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</si>
  <si>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</si>
  <si>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</si>
  <si>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</si>
  <si>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</si>
  <si>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</si>
  <si>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</si>
  <si>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</si>
  <si>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</si>
  <si>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</si>
  <si>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</si>
  <si>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</si>
  <si>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</si>
  <si>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</si>
  <si>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</si>
  <si>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</si>
  <si>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</si>
  <si>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</si>
  <si>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</si>
  <si>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</si>
  <si>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</si>
  <si>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</si>
  <si>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</si>
  <si>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</si>
  <si>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</si>
  <si>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</si>
  <si>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</si>
  <si>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</si>
  <si>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</si>
  <si>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</si>
  <si>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</si>
  <si>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</si>
  <si>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</si>
  <si>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Canting/moveable ballast, max List Angle with ballast fully to one side. Note do NOT supply for water ballast.</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</si>
  <si>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</si>
  <si>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</si>
  <si>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</si>
  <si>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</si>
  <si>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</si>
  <si>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</si>
  <si>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</si>
  <si>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</si>
  <si>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</si>
  <si>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</si>
  <si>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</si>
  <si>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</si>
  <si>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</si>
  <si>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</si>
  <si>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Twin masted rigs - see PART 2 for mizzen data</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</si>
  <si>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</si>
  <si>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</si>
  <si>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</si>
  <si>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</si>
  <si>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</si>
  <si>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</si>
  <si>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</si>
  <si>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</si>
  <si>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</si>
  <si>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</si>
  <si>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</si>
  <si>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</si>
  <si>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</si>
  <si>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</si>
  <si>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</si>
  <si>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</si>
  <si>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</si>
  <si>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</si>
  <si>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</si>
  <si>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</si>
  <si>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</si>
  <si>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</si>
  <si>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</si>
  <si>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</si>
  <si>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</si>
  <si>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</si>
  <si>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</si>
  <si>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</si>
  <si>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</si>
  <si>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21.8.2</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</si>
  <si>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</si>
  <si>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</si>
  <si>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</si>
  <si>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</si>
  <si>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</si>
  <si>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</si>
  <si>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</si>
  <si>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</si>
  <si>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</si>
  <si>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</si>
  <si>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</si>
  <si>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</si>
  <si>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</si>
  <si>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</si>
  <si>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</si>
  <si>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</si>
  <si>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</si>
  <si>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</si>
  <si>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</si>
  <si>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</si>
  <si>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</si>
  <si>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</si>
  <si>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</si>
  <si>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</si>
  <si>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</si>
  <si>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</si>
  <si>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</si>
  <si>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</si>
  <si>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</si>
  <si>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</si>
  <si>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</si>
  <si>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</si>
  <si>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</si>
  <si>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MAST FOOT: is your boat fitted with or carrying aboard systems to adjust the mast foot while racing?</t>
  </si>
  <si>
    <t>Disposez-vous à bord, d'un ou de systèmes permettant d'ajuster l'étai ou le pied de mât?</t>
  </si>
  <si>
    <t xml:space="preserve">La vostra barca è dotata di un sistema per la regolazione dello strallo o del piede dell'albero </t>
  </si>
  <si>
    <t>Dispone a bordo, de un o de sistemas que permiten ajustar el estay ó el pie de mástil?</t>
  </si>
  <si>
    <t>マストフットを調整するシステムがボートに備わっている、もしくは、搭載されていますか？</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</si>
  <si>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</si>
  <si>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</si>
  <si>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</si>
  <si>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</si>
  <si>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</si>
  <si>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</si>
  <si>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</si>
  <si>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</si>
  <si>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</si>
  <si>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</si>
  <si>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</si>
  <si>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</si>
  <si>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</si>
  <si>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IRC</t>
  </si>
  <si>
    <t>22.1.1</t>
  </si>
  <si>
    <t>See "IRC Keels" worksheet, or Yearbook</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</si>
  <si>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</si>
  <si>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</si>
  <si>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</si>
  <si>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</si>
  <si>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</si>
  <si>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</si>
  <si>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</si>
  <si>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</si>
  <si>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</si>
  <si>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</si>
  <si>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</si>
  <si>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</si>
  <si>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</si>
  <si>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</si>
  <si>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</si>
  <si>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</si>
  <si>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</si>
  <si>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</si>
  <si>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</si>
  <si>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</si>
  <si>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</si>
  <si>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</si>
  <si>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</si>
  <si>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</si>
  <si>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</si>
  <si>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</si>
  <si>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Foils that create lift</t>
  </si>
  <si>
    <t>Is the boat fitted with foils that create lift?</t>
  </si>
  <si>
    <t>lift foils YN</t>
  </si>
  <si>
    <t>new for 2018 - see Rule Changes</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</si>
  <si>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</si>
  <si>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</si>
  <si>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</si>
  <si>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</si>
  <si>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</si>
  <si>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</si>
  <si>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</si>
  <si>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</si>
  <si>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</si>
  <si>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</si>
  <si>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</si>
  <si>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</si>
  <si>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</si>
  <si>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</si>
  <si>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</si>
  <si>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</si>
  <si>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</si>
  <si>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</si>
  <si>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</si>
  <si>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</si>
  <si>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</si>
  <si>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</si>
  <si>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</si>
  <si>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</si>
  <si>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</si>
  <si>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</si>
  <si>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</si>
  <si>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</si>
  <si>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</si>
  <si>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</si>
  <si>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</si>
  <si>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</si>
  <si>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</si>
  <si>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</si>
  <si>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</si>
  <si>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</si>
  <si>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</si>
  <si>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</si>
  <si>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</si>
  <si>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</si>
  <si>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</si>
  <si>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</si>
  <si>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</si>
  <si>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</si>
  <si>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</si>
  <si>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</si>
  <si>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</si>
  <si>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</si>
  <si>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</si>
  <si>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</si>
  <si>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</si>
  <si>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</si>
  <si>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</si>
  <si>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4"/>
  </si>
  <si>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</si>
  <si>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</si>
  <si>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</si>
  <si>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</si>
  <si>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</si>
  <si>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</si>
  <si>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</si>
  <si>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</si>
  <si>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</si>
  <si>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</si>
  <si>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Les voiles doivent être mesurées par un Mesureur Agréé Endorsed.</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</si>
  <si>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</si>
  <si>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</si>
  <si>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</si>
  <si>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</si>
  <si>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</si>
  <si>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</si>
  <si>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</si>
  <si>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</si>
  <si>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</si>
  <si>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</si>
  <si>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</si>
  <si>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</si>
  <si>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</si>
  <si>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</si>
  <si>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</si>
  <si>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</si>
  <si>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</si>
  <si>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</si>
  <si>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</si>
  <si>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</si>
  <si>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</si>
  <si>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</si>
  <si>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</si>
  <si>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</si>
  <si>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</si>
  <si>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</si>
  <si>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</si>
  <si>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</si>
  <si>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</si>
  <si>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</si>
  <si>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</si>
  <si>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</si>
  <si>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</si>
  <si>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</si>
  <si>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CLUB SWAN 50</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</si>
  <si>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</si>
  <si>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</si>
  <si>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</si>
  <si>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</si>
  <si>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</si>
  <si>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</si>
  <si>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</si>
  <si>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</si>
  <si>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</si>
  <si>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</si>
  <si>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</si>
  <si>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</si>
  <si>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</si>
  <si>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</si>
  <si>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</si>
  <si>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</si>
  <si>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</si>
  <si>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</si>
  <si>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</si>
  <si>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</si>
  <si>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</si>
  <si>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</si>
  <si>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</si>
  <si>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</si>
  <si>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2.11</t>
  </si>
  <si>
    <t>X4 2.20</t>
  </si>
  <si>
    <t>X4 2.50</t>
  </si>
  <si>
    <t>Door(s) removed?</t>
  </si>
  <si>
    <t>Portes retirées?</t>
  </si>
  <si>
    <t>Puertas quitadas?</t>
  </si>
  <si>
    <t>Doors removed?</t>
  </si>
  <si>
    <t>Ver: 171127</t>
  </si>
  <si>
    <t>USA -- IRC APPLICATION -- USA</t>
  </si>
  <si>
    <t>APPLICATION FEE</t>
  </si>
  <si>
    <t>City &amp; State</t>
  </si>
  <si>
    <t>US Sailing Membership is Required.</t>
  </si>
  <si>
    <t xml:space="preserve">US Sailing Number: </t>
  </si>
  <si>
    <t xml:space="preserve"> Join / renew at: </t>
  </si>
  <si>
    <t>http://www.ussailing.org/membership/</t>
  </si>
  <si>
    <r>
      <t>FEES:
   - $25.93</t>
    </r>
    <r>
      <rPr>
        <sz val="9"/>
        <rFont val="Arial"/>
        <family val="2"/>
      </rPr>
      <t xml:space="preserve"> / m for LH </t>
    </r>
    <r>
      <rPr>
        <b/>
        <sz val="9"/>
        <color rgb="FFFF0000"/>
        <rFont val="Arial"/>
        <family val="2"/>
      </rPr>
      <t xml:space="preserve">up to 11.99m
</t>
    </r>
    <r>
      <rPr>
        <sz val="9"/>
        <rFont val="Arial"/>
        <family val="2"/>
      </rPr>
      <t xml:space="preserve">   - </t>
    </r>
    <r>
      <rPr>
        <b/>
        <sz val="9"/>
        <rFont val="Arial"/>
        <family val="2"/>
      </rPr>
      <t>$27.29</t>
    </r>
    <r>
      <rPr>
        <sz val="9"/>
        <rFont val="Arial"/>
        <family val="2"/>
      </rPr>
      <t xml:space="preserve"> / m for LH </t>
    </r>
    <r>
      <rPr>
        <b/>
        <sz val="9"/>
        <color rgb="FFFF0000"/>
        <rFont val="Arial"/>
        <family val="2"/>
      </rPr>
      <t>12.00</t>
    </r>
    <r>
      <rPr>
        <sz val="9"/>
        <color rgb="FFFF0000"/>
        <rFont val="Arial"/>
        <family val="2"/>
      </rPr>
      <t xml:space="preserve"> </t>
    </r>
    <r>
      <rPr>
        <b/>
        <sz val="9"/>
        <color rgb="FFFF0000"/>
        <rFont val="Arial"/>
        <family val="2"/>
      </rPr>
      <t>to 17.99m</t>
    </r>
    <r>
      <rPr>
        <sz val="9"/>
        <rFont val="Arial"/>
        <family val="2"/>
      </rPr>
      <t xml:space="preserve">
   - </t>
    </r>
    <r>
      <rPr>
        <b/>
        <sz val="9"/>
        <rFont val="Arial"/>
        <family val="2"/>
      </rPr>
      <t>$37.21</t>
    </r>
    <r>
      <rPr>
        <sz val="9"/>
        <rFont val="Arial"/>
        <family val="2"/>
      </rPr>
      <t xml:space="preserve"> / m for LH </t>
    </r>
    <r>
      <rPr>
        <b/>
        <sz val="9"/>
        <color rgb="FFFF0000"/>
        <rFont val="Arial"/>
        <family val="2"/>
      </rPr>
      <t>18m and longer</t>
    </r>
  </si>
  <si>
    <t xml:space="preserve"> LH * cost per metre </t>
  </si>
  <si>
    <r>
      <rPr>
        <b/>
        <u/>
        <sz val="9"/>
        <color indexed="10"/>
        <rFont val="Arial"/>
        <family val="2"/>
      </rPr>
      <t>Expedited</t>
    </r>
    <r>
      <rPr>
        <b/>
        <sz val="9"/>
        <rFont val="Arial"/>
        <family val="2"/>
      </rPr>
      <t xml:space="preserve"> fee </t>
    </r>
    <r>
      <rPr>
        <b/>
        <u/>
        <sz val="9"/>
        <color indexed="10"/>
        <rFont val="Arial"/>
        <family val="2"/>
      </rPr>
      <t>required</t>
    </r>
    <r>
      <rPr>
        <b/>
        <sz val="9"/>
        <rFont val="Arial"/>
        <family val="2"/>
      </rPr>
      <t xml:space="preserve"> for guaranteed processing in </t>
    </r>
    <r>
      <rPr>
        <b/>
        <u/>
        <sz val="9"/>
        <color indexed="10"/>
        <rFont val="Arial"/>
        <family val="2"/>
      </rPr>
      <t>5 business days or less</t>
    </r>
    <r>
      <rPr>
        <b/>
        <sz val="9"/>
        <rFont val="Arial"/>
        <family val="2"/>
      </rPr>
      <t>.
Select "</t>
    </r>
    <r>
      <rPr>
        <b/>
        <u/>
        <sz val="9"/>
        <color rgb="FFFF0000"/>
        <rFont val="Arial"/>
        <family val="2"/>
      </rPr>
      <t>Yes</t>
    </r>
    <r>
      <rPr>
        <b/>
        <sz val="9"/>
        <rFont val="Arial"/>
        <family val="2"/>
      </rPr>
      <t>" below from the drop down box at line 253.</t>
    </r>
  </si>
  <si>
    <r>
      <t xml:space="preserve">Fee </t>
    </r>
    <r>
      <rPr>
        <b/>
        <u/>
        <sz val="9"/>
        <color indexed="10"/>
        <rFont val="Arial"/>
        <family val="2"/>
      </rPr>
      <t>DOUBLED</t>
    </r>
    <r>
      <rPr>
        <b/>
        <sz val="9"/>
        <rFont val="Arial"/>
        <family val="2"/>
      </rPr>
      <t xml:space="preserve"> if </t>
    </r>
    <r>
      <rPr>
        <b/>
        <u/>
        <sz val="9"/>
        <color indexed="10"/>
        <rFont val="Arial"/>
        <family val="2"/>
      </rPr>
      <t>EXPEDITED</t>
    </r>
    <r>
      <rPr>
        <b/>
        <sz val="9"/>
        <rFont val="Arial"/>
        <family val="2"/>
      </rPr>
      <t>.      Expedited Processing?</t>
    </r>
  </si>
  <si>
    <r>
      <t xml:space="preserve">PAYMENT BY CREDIT CARD:
   - </t>
    </r>
    <r>
      <rPr>
        <sz val="9"/>
        <rFont val="Arial"/>
        <family val="2"/>
      </rPr>
      <t>Telephone</t>
    </r>
    <r>
      <rPr>
        <b/>
        <sz val="9"/>
        <rFont val="Arial"/>
        <family val="2"/>
      </rPr>
      <t xml:space="preserve"> </t>
    </r>
    <r>
      <rPr>
        <b/>
        <sz val="9"/>
        <color rgb="FFFF0000"/>
        <rFont val="Arial"/>
        <family val="2"/>
      </rPr>
      <t>800 - 877 - 2451</t>
    </r>
    <r>
      <rPr>
        <b/>
        <sz val="9"/>
        <rFont val="Arial"/>
        <family val="2"/>
      </rPr>
      <t xml:space="preserve"> </t>
    </r>
    <r>
      <rPr>
        <sz val="9"/>
        <rFont val="Arial"/>
        <family val="2"/>
      </rPr>
      <t xml:space="preserve">and ask to pay for an </t>
    </r>
    <r>
      <rPr>
        <b/>
        <sz val="9"/>
        <color rgb="FFFF0000"/>
        <rFont val="Arial"/>
        <family val="2"/>
      </rPr>
      <t xml:space="preserve">IRC New certificate application
</t>
    </r>
    <r>
      <rPr>
        <sz val="9"/>
        <rFont val="Arial"/>
        <family val="2"/>
      </rPr>
      <t xml:space="preserve">   - Provide the </t>
    </r>
    <r>
      <rPr>
        <b/>
        <u/>
        <sz val="9"/>
        <color rgb="FFFF0000"/>
        <rFont val="Arial"/>
        <family val="2"/>
      </rPr>
      <t>Fee</t>
    </r>
    <r>
      <rPr>
        <sz val="9"/>
        <rFont val="Arial"/>
        <family val="2"/>
      </rPr>
      <t xml:space="preserve"> as above. Ensure you provide the </t>
    </r>
    <r>
      <rPr>
        <b/>
        <u/>
        <sz val="9"/>
        <color rgb="FFFF0000"/>
        <rFont val="Arial"/>
        <family val="2"/>
      </rPr>
      <t>EXPEDITED FEE</t>
    </r>
    <r>
      <rPr>
        <sz val="9"/>
        <rFont val="Arial"/>
        <family val="2"/>
      </rPr>
      <t xml:space="preserve"> if the certificate is needed w/in 5 days
   - Provide </t>
    </r>
    <r>
      <rPr>
        <b/>
        <u/>
        <sz val="9"/>
        <color rgb="FFFF0000"/>
        <rFont val="Arial"/>
        <family val="2"/>
      </rPr>
      <t>US Sailing Member ID</t>
    </r>
    <r>
      <rPr>
        <sz val="9"/>
        <rFont val="Arial"/>
        <family val="2"/>
      </rPr>
      <t xml:space="preserve">, </t>
    </r>
    <r>
      <rPr>
        <b/>
        <u/>
        <sz val="9"/>
        <color rgb="FFFF0000"/>
        <rFont val="Arial"/>
        <family val="2"/>
      </rPr>
      <t>Boat Name</t>
    </r>
    <r>
      <rPr>
        <sz val="9"/>
        <rFont val="Arial"/>
        <family val="2"/>
      </rPr>
      <t xml:space="preserve"> and </t>
    </r>
    <r>
      <rPr>
        <b/>
        <u/>
        <sz val="9"/>
        <color rgb="FFFF0000"/>
        <rFont val="Arial"/>
        <family val="2"/>
      </rPr>
      <t xml:space="preserve">Sail Number
</t>
    </r>
    <r>
      <rPr>
        <b/>
        <sz val="9"/>
        <rFont val="Arial"/>
        <family val="2"/>
      </rPr>
      <t xml:space="preserve">PAYMENT BY CHECK:
</t>
    </r>
    <r>
      <rPr>
        <sz val="9"/>
        <rFont val="Arial"/>
        <family val="2"/>
      </rPr>
      <t xml:space="preserve">   - Make payable to "</t>
    </r>
    <r>
      <rPr>
        <b/>
        <u/>
        <sz val="9"/>
        <color rgb="FFFF0000"/>
        <rFont val="Arial"/>
        <family val="2"/>
      </rPr>
      <t>US Sailing Association</t>
    </r>
    <r>
      <rPr>
        <sz val="9"/>
        <rFont val="Arial"/>
        <family val="2"/>
      </rPr>
      <t xml:space="preserve">" write </t>
    </r>
    <r>
      <rPr>
        <b/>
        <u/>
        <sz val="9"/>
        <color rgb="FFFF0000"/>
        <rFont val="Arial"/>
        <family val="2"/>
      </rPr>
      <t>Boat Name</t>
    </r>
    <r>
      <rPr>
        <sz val="9"/>
        <rFont val="Arial"/>
        <family val="2"/>
      </rPr>
      <t xml:space="preserve"> and "</t>
    </r>
    <r>
      <rPr>
        <b/>
        <u/>
        <sz val="9"/>
        <color rgb="FFFF0000"/>
        <rFont val="Arial"/>
        <family val="2"/>
      </rPr>
      <t>IRC Certificate</t>
    </r>
    <r>
      <rPr>
        <sz val="9"/>
        <rFont val="Arial"/>
        <family val="2"/>
      </rPr>
      <t>" on the check</t>
    </r>
    <r>
      <rPr>
        <b/>
        <u/>
        <sz val="9"/>
        <color rgb="FFFF0000"/>
        <rFont val="Arial"/>
        <family val="2"/>
      </rPr>
      <t xml:space="preserve">
</t>
    </r>
    <r>
      <rPr>
        <sz val="9"/>
        <rFont val="Arial"/>
        <family val="2"/>
      </rPr>
      <t xml:space="preserve">   - Mail to:  </t>
    </r>
    <r>
      <rPr>
        <b/>
        <sz val="9"/>
        <rFont val="Arial"/>
        <family val="2"/>
      </rPr>
      <t xml:space="preserve"> </t>
    </r>
    <r>
      <rPr>
        <b/>
        <u/>
        <sz val="9"/>
        <color rgb="FFFF0000"/>
        <rFont val="Arial"/>
        <family val="2"/>
      </rPr>
      <t>US Sailing Association</t>
    </r>
    <r>
      <rPr>
        <sz val="9"/>
        <rFont val="Arial"/>
        <family val="2"/>
      </rPr>
      <t xml:space="preserve">, </t>
    </r>
    <r>
      <rPr>
        <b/>
        <u/>
        <sz val="9"/>
        <color rgb="FFFF0000"/>
        <rFont val="Arial"/>
        <family val="2"/>
      </rPr>
      <t>1 Roger Williams University Way</t>
    </r>
    <r>
      <rPr>
        <sz val="9"/>
        <rFont val="Arial"/>
        <family val="2"/>
      </rPr>
      <t xml:space="preserve">, </t>
    </r>
    <r>
      <rPr>
        <b/>
        <u/>
        <sz val="9"/>
        <color rgb="FFFF0000"/>
        <rFont val="Arial"/>
        <family val="2"/>
      </rPr>
      <t>Bristol, RI 02809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</si>
</sst>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quot;£&quot;#,##0.00"/>
    <numFmt numFmtId="167" formatCode="mm/yy"/>
    <numFmt numFmtId="168" formatCode="dd/mm/yyyy;@"/>
    <numFmt numFmtId="169" formatCode="mmm\ dd\,\ yyyy"/>
  </numFmts>
  <fonts count="160">
    <font>
      <sz val="10"/>
      <name val="Arial"/>
    </font>
    <font>
      <sz val="10"/>
      <name val="Arial"/>
      <family val="2"/>
    </font>
    <font>
      <sz val="10"/>
      <name val="Arial"/>
      <family val="2"/>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b/>
      <strike/>
      <sz val="10"/>
      <color indexed="12"/>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Cambria"/>
      <family val="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b/>
      <sz val="10"/>
      <color rgb="FFFF0000"/>
      <name val="Arial"/>
      <family val="2"/>
    </font>
    <font>
      <u/>
      <sz val="10"/>
      <color rgb="FFFF0000"/>
      <name val="Arial"/>
      <family val="2"/>
    </font>
    <font>
      <sz val="11"/>
      <color theme="1"/>
      <name val="ＭＳ Ｐゴシック"/>
      <family val="3"/>
      <charset val="128"/>
    </font>
    <font>
      <sz val="11"/>
      <color theme="1"/>
      <name val="Arial"/>
      <family val="2"/>
    </font>
    <font>
      <b/>
      <sz val="26"/>
      <color theme="0"/>
      <name val="Arial"/>
      <family val="2"/>
    </font>
    <font>
      <b/>
      <sz val="9"/>
      <color theme="0"/>
      <name val="Arial"/>
      <family val="2"/>
    </font>
    <font>
      <b/>
      <sz val="9"/>
      <color rgb="FFFF0000"/>
      <name val="Arial"/>
      <family val="2"/>
    </font>
    <font>
      <b/>
      <sz val="10"/>
      <color theme="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b/>
      <sz val="18"/>
      <color theme="0"/>
      <name val="Arial"/>
      <family val="2"/>
    </font>
    <font>
      <b/>
      <sz val="14"/>
      <color rgb="FFFF0000"/>
      <name val="Arial"/>
      <family val="2"/>
    </font>
    <font>
      <b/>
      <u/>
      <sz val="9"/>
      <color rgb="FFFF0000"/>
      <name val="Arial"/>
      <family val="2"/>
    </font>
    <font>
      <sz val="10"/>
      <color theme="0"/>
      <name val="Arial"/>
      <family val="2"/>
    </font>
    <font>
      <b/>
      <u/>
      <sz val="9"/>
      <color indexed="10"/>
      <name val="Arial"/>
      <family val="2"/>
    </font>
    <font>
      <sz val="9"/>
      <color theme="0"/>
      <name val="Arial"/>
      <family val="2"/>
    </font>
  </fonts>
  <fills count="3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808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medium">
        <color rgb="FFFF0000"/>
      </left>
      <right/>
      <top/>
      <bottom/>
      <diagonal/>
    </border>
  </borders>
  <cellStyleXfs count="91">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103" fillId="2" borderId="0" applyNumberFormat="0" applyBorder="0" applyAlignment="0" applyProtection="0">
      <alignment vertical="center"/>
    </xf>
    <xf numFmtId="0" fontId="103" fillId="3" borderId="0" applyNumberFormat="0" applyBorder="0" applyAlignment="0" applyProtection="0">
      <alignment vertical="center"/>
    </xf>
    <xf numFmtId="0" fontId="103" fillId="4" borderId="0" applyNumberFormat="0" applyBorder="0" applyAlignment="0" applyProtection="0">
      <alignment vertical="center"/>
    </xf>
    <xf numFmtId="0" fontId="103" fillId="5" borderId="0" applyNumberFormat="0" applyBorder="0" applyAlignment="0" applyProtection="0">
      <alignment vertical="center"/>
    </xf>
    <xf numFmtId="0" fontId="103" fillId="6" borderId="0" applyNumberFormat="0" applyBorder="0" applyAlignment="0" applyProtection="0">
      <alignment vertical="center"/>
    </xf>
    <xf numFmtId="0" fontId="103"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103" fillId="6" borderId="0" applyNumberFormat="0" applyBorder="0" applyAlignment="0" applyProtection="0">
      <alignment vertical="center"/>
    </xf>
    <xf numFmtId="0" fontId="103" fillId="3" borderId="0" applyNumberFormat="0" applyBorder="0" applyAlignment="0" applyProtection="0">
      <alignment vertical="center"/>
    </xf>
    <xf numFmtId="0" fontId="103" fillId="7" borderId="0" applyNumberFormat="0" applyBorder="0" applyAlignment="0" applyProtection="0">
      <alignment vertical="center"/>
    </xf>
    <xf numFmtId="0" fontId="103" fillId="8" borderId="0" applyNumberFormat="0" applyBorder="0" applyAlignment="0" applyProtection="0">
      <alignment vertical="center"/>
    </xf>
    <xf numFmtId="0" fontId="103" fillId="6" borderId="0" applyNumberFormat="0" applyBorder="0" applyAlignment="0" applyProtection="0">
      <alignment vertical="center"/>
    </xf>
    <xf numFmtId="0" fontId="103"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104" fillId="6" borderId="0" applyNumberFormat="0" applyBorder="0" applyAlignment="0" applyProtection="0">
      <alignment vertical="center"/>
    </xf>
    <xf numFmtId="0" fontId="104" fillId="9" borderId="0" applyNumberFormat="0" applyBorder="0" applyAlignment="0" applyProtection="0">
      <alignment vertical="center"/>
    </xf>
    <xf numFmtId="0" fontId="104" fillId="10" borderId="0" applyNumberFormat="0" applyBorder="0" applyAlignment="0" applyProtection="0">
      <alignment vertical="center"/>
    </xf>
    <xf numFmtId="0" fontId="104" fillId="8" borderId="0" applyNumberFormat="0" applyBorder="0" applyAlignment="0" applyProtection="0">
      <alignment vertical="center"/>
    </xf>
    <xf numFmtId="0" fontId="104" fillId="6" borderId="0" applyNumberFormat="0" applyBorder="0" applyAlignment="0" applyProtection="0">
      <alignment vertical="center"/>
    </xf>
    <xf numFmtId="0" fontId="104" fillId="3" borderId="0" applyNumberFormat="0" applyBorder="0" applyAlignment="0" applyProtection="0">
      <alignment vertical="center"/>
    </xf>
    <xf numFmtId="0" fontId="85" fillId="6" borderId="0" applyNumberFormat="0" applyBorder="0" applyAlignment="0" applyProtection="0"/>
    <xf numFmtId="0" fontId="86" fillId="16" borderId="1" applyNumberFormat="0" applyAlignment="0" applyProtection="0"/>
    <xf numFmtId="0" fontId="87" fillId="17" borderId="2" applyNumberFormat="0" applyAlignment="0" applyProtection="0"/>
    <xf numFmtId="0" fontId="88" fillId="0" borderId="3" applyNumberFormat="0" applyFill="0" applyAlignment="0" applyProtection="0"/>
    <xf numFmtId="164" fontId="4" fillId="0" borderId="0" applyFont="0" applyFill="0" applyBorder="0" applyAlignment="0" applyProtection="0"/>
    <xf numFmtId="0" fontId="89"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90" fillId="7" borderId="1" applyNumberFormat="0" applyAlignment="0" applyProtection="0"/>
    <xf numFmtId="0" fontId="11" fillId="0" borderId="0" applyNumberFormat="0" applyFill="0" applyBorder="0" applyAlignment="0" applyProtection="0">
      <alignment vertical="top"/>
      <protection locked="0"/>
    </xf>
    <xf numFmtId="0" fontId="91" fillId="15" borderId="0" applyNumberFormat="0" applyBorder="0" applyAlignment="0" applyProtection="0"/>
    <xf numFmtId="0" fontId="92" fillId="7" borderId="0" applyNumberFormat="0" applyBorder="0" applyAlignment="0" applyProtection="0"/>
    <xf numFmtId="0" fontId="137" fillId="0" borderId="0"/>
    <xf numFmtId="0" fontId="10" fillId="0" borderId="0"/>
    <xf numFmtId="0" fontId="10" fillId="0" borderId="0"/>
    <xf numFmtId="0" fontId="10" fillId="0" borderId="0"/>
    <xf numFmtId="0" fontId="10" fillId="0" borderId="0"/>
    <xf numFmtId="0" fontId="4" fillId="4" borderId="7" applyNumberFormat="0" applyFont="0" applyAlignment="0" applyProtection="0"/>
    <xf numFmtId="0" fontId="93" fillId="16" borderId="8" applyNumberFormat="0" applyAlignment="0" applyProtection="0"/>
    <xf numFmtId="0" fontId="88"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4" applyNumberFormat="0" applyFill="0" applyAlignment="0" applyProtection="0"/>
    <xf numFmtId="0" fontId="97" fillId="0" borderId="5" applyNumberFormat="0" applyFill="0" applyAlignment="0" applyProtection="0"/>
    <xf numFmtId="0" fontId="89" fillId="0" borderId="6" applyNumberFormat="0" applyFill="0" applyAlignment="0" applyProtection="0"/>
    <xf numFmtId="0" fontId="105" fillId="0" borderId="0" applyNumberFormat="0" applyFill="0" applyBorder="0" applyAlignment="0" applyProtection="0"/>
    <xf numFmtId="0" fontId="98" fillId="0" borderId="9" applyNumberFormat="0" applyFill="0" applyAlignment="0" applyProtection="0"/>
    <xf numFmtId="0" fontId="104" fillId="11" borderId="0" applyNumberFormat="0" applyBorder="0" applyAlignment="0" applyProtection="0">
      <alignment vertical="center"/>
    </xf>
    <xf numFmtId="0" fontId="104" fillId="9" borderId="0" applyNumberFormat="0" applyBorder="0" applyAlignment="0" applyProtection="0">
      <alignment vertical="center"/>
    </xf>
    <xf numFmtId="0" fontId="104" fillId="10" borderId="0" applyNumberFormat="0" applyBorder="0" applyAlignment="0" applyProtection="0">
      <alignment vertical="center"/>
    </xf>
    <xf numFmtId="0" fontId="104" fillId="12" borderId="0" applyNumberFormat="0" applyBorder="0" applyAlignment="0" applyProtection="0">
      <alignment vertical="center"/>
    </xf>
    <xf numFmtId="0" fontId="104" fillId="13" borderId="0" applyNumberFormat="0" applyBorder="0" applyAlignment="0" applyProtection="0">
      <alignment vertical="center"/>
    </xf>
    <xf numFmtId="0" fontId="104" fillId="14" borderId="0" applyNumberFormat="0" applyBorder="0" applyAlignment="0" applyProtection="0">
      <alignment vertical="center"/>
    </xf>
    <xf numFmtId="0" fontId="106" fillId="0" borderId="0" applyNumberFormat="0" applyFill="0" applyBorder="0" applyAlignment="0" applyProtection="0">
      <alignment vertical="center"/>
    </xf>
    <xf numFmtId="0" fontId="107" fillId="17" borderId="2" applyNumberFormat="0" applyAlignment="0" applyProtection="0">
      <alignment vertical="center"/>
    </xf>
    <xf numFmtId="0" fontId="108" fillId="7" borderId="0" applyNumberFormat="0" applyBorder="0" applyAlignment="0" applyProtection="0">
      <alignment vertical="center"/>
    </xf>
    <xf numFmtId="0" fontId="10" fillId="4" borderId="7" applyNumberFormat="0" applyFont="0" applyAlignment="0" applyProtection="0">
      <alignment vertical="center"/>
    </xf>
    <xf numFmtId="0" fontId="109" fillId="0" borderId="3" applyNumberFormat="0" applyFill="0" applyAlignment="0" applyProtection="0">
      <alignment vertical="center"/>
    </xf>
    <xf numFmtId="0" fontId="110" fillId="7" borderId="1" applyNumberFormat="0" applyAlignment="0" applyProtection="0">
      <alignment vertical="center"/>
    </xf>
    <xf numFmtId="0" fontId="111" fillId="16" borderId="8" applyNumberFormat="0" applyAlignment="0" applyProtection="0">
      <alignment vertical="center"/>
    </xf>
    <xf numFmtId="0" fontId="112" fillId="15" borderId="0" applyNumberFormat="0" applyBorder="0" applyAlignment="0" applyProtection="0">
      <alignment vertical="center"/>
    </xf>
    <xf numFmtId="0" fontId="113" fillId="6" borderId="0" applyNumberFormat="0" applyBorder="0" applyAlignment="0" applyProtection="0">
      <alignment vertical="center"/>
    </xf>
    <xf numFmtId="0" fontId="114" fillId="0" borderId="4" applyNumberFormat="0" applyFill="0" applyAlignment="0" applyProtection="0">
      <alignment vertical="center"/>
    </xf>
    <xf numFmtId="0" fontId="115" fillId="0" borderId="5" applyNumberFormat="0" applyFill="0" applyAlignment="0" applyProtection="0">
      <alignment vertical="center"/>
    </xf>
    <xf numFmtId="0" fontId="116" fillId="0" borderId="6" applyNumberFormat="0" applyFill="0" applyAlignment="0" applyProtection="0">
      <alignment vertical="center"/>
    </xf>
    <xf numFmtId="0" fontId="116" fillId="0" borderId="0" applyNumberFormat="0" applyFill="0" applyBorder="0" applyAlignment="0" applyProtection="0">
      <alignment vertical="center"/>
    </xf>
    <xf numFmtId="0" fontId="117" fillId="16" borderId="1" applyNumberFormat="0" applyAlignment="0" applyProtection="0">
      <alignment vertical="center"/>
    </xf>
    <xf numFmtId="0" fontId="11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9" fillId="0" borderId="9" applyNumberFormat="0" applyFill="0" applyAlignment="0" applyProtection="0">
      <alignment vertical="center"/>
    </xf>
  </cellStyleXfs>
  <cellXfs count="1028">
    <xf numFmtId="0" fontId="0" fillId="0" borderId="0" xfId="0"/>
    <xf numFmtId="0" fontId="8" fillId="0" borderId="0" xfId="0" applyFont="1"/>
    <xf numFmtId="0" fontId="10" fillId="0" borderId="0" xfId="0" applyFont="1"/>
    <xf numFmtId="0" fontId="8"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0" fontId="9" fillId="0" borderId="0" xfId="0" applyFont="1"/>
    <xf numFmtId="2" fontId="8" fillId="0" borderId="0" xfId="0" applyNumberFormat="1" applyFont="1" applyAlignment="1">
      <alignment horizontal="center"/>
    </xf>
    <xf numFmtId="0" fontId="8" fillId="0" borderId="0" xfId="0" applyFont="1" applyFill="1"/>
    <xf numFmtId="0" fontId="9" fillId="0" borderId="0" xfId="0" applyFont="1" applyFill="1" applyBorder="1"/>
    <xf numFmtId="0" fontId="5" fillId="0" borderId="0" xfId="0" applyFont="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28" fillId="0" borderId="12" xfId="0" applyFont="1" applyFill="1" applyBorder="1" applyProtection="1"/>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xf>
    <xf numFmtId="0" fontId="5" fillId="0" borderId="0" xfId="0" applyFont="1" applyFill="1" applyBorder="1" applyAlignment="1" applyProtection="1"/>
    <xf numFmtId="0" fontId="5" fillId="0" borderId="0" xfId="0" applyFont="1" applyFill="1" applyBorder="1" applyProtection="1"/>
    <xf numFmtId="0" fontId="32" fillId="0" borderId="0" xfId="0" applyFont="1" applyFill="1" applyBorder="1" applyAlignment="1" applyProtection="1">
      <alignment horizontal="left"/>
    </xf>
    <xf numFmtId="49" fontId="20" fillId="0" borderId="0" xfId="0" applyNumberFormat="1" applyFont="1" applyFill="1" applyBorder="1" applyAlignment="1" applyProtection="1">
      <alignment horizontal="left"/>
    </xf>
    <xf numFmtId="167" fontId="12" fillId="0" borderId="0" xfId="0" applyNumberFormat="1" applyFont="1" applyFill="1" applyBorder="1" applyAlignment="1" applyProtection="1">
      <alignment horizontal="left"/>
    </xf>
    <xf numFmtId="0" fontId="28" fillId="0" borderId="0" xfId="0" applyFont="1" applyFill="1" applyBorder="1" applyProtection="1"/>
    <xf numFmtId="0" fontId="23" fillId="0" borderId="0" xfId="0" applyFont="1" applyFill="1" applyAlignment="1" applyProtection="1">
      <alignment horizontal="center"/>
    </xf>
    <xf numFmtId="0" fontId="23" fillId="0" borderId="0" xfId="0" applyFont="1" applyFill="1" applyProtection="1"/>
    <xf numFmtId="0" fontId="25" fillId="0" borderId="10" xfId="0" applyFont="1" applyFill="1" applyBorder="1" applyAlignment="1" applyProtection="1">
      <alignment horizontal="right" vertical="center"/>
    </xf>
    <xf numFmtId="49" fontId="25" fillId="0" borderId="13" xfId="0" applyNumberFormat="1" applyFont="1" applyFill="1" applyBorder="1" applyAlignment="1" applyProtection="1">
      <alignment horizontal="right"/>
    </xf>
    <xf numFmtId="0" fontId="25" fillId="0" borderId="0" xfId="0" applyFont="1" applyFill="1" applyBorder="1" applyAlignment="1" applyProtection="1">
      <alignment horizontal="right" vertical="center"/>
    </xf>
    <xf numFmtId="0" fontId="25" fillId="0" borderId="10" xfId="0" applyFont="1" applyFill="1" applyBorder="1" applyAlignment="1" applyProtection="1">
      <alignment horizontal="right"/>
    </xf>
    <xf numFmtId="0" fontId="25" fillId="0" borderId="0" xfId="0" applyFont="1" applyFill="1" applyBorder="1" applyAlignment="1" applyProtection="1">
      <alignment horizontal="right"/>
    </xf>
    <xf numFmtId="0" fontId="25" fillId="0" borderId="0" xfId="0" applyFont="1" applyFill="1" applyAlignment="1" applyProtection="1">
      <alignment horizontal="right"/>
    </xf>
    <xf numFmtId="0" fontId="25" fillId="0" borderId="0" xfId="0" applyFont="1" applyFill="1" applyProtection="1"/>
    <xf numFmtId="0" fontId="25" fillId="0" borderId="14" xfId="0" applyFont="1" applyFill="1" applyBorder="1" applyAlignment="1" applyProtection="1">
      <alignment horizontal="right" vertical="center"/>
    </xf>
    <xf numFmtId="0" fontId="26" fillId="0" borderId="0" xfId="0" applyFont="1" applyFill="1" applyProtection="1"/>
    <xf numFmtId="0" fontId="26" fillId="0" borderId="0" xfId="0" applyFont="1" applyFill="1" applyAlignment="1" applyProtection="1">
      <alignment horizontal="center"/>
    </xf>
    <xf numFmtId="0" fontId="26" fillId="0" borderId="0" xfId="0" applyFont="1" applyFill="1" applyBorder="1" applyAlignment="1" applyProtection="1">
      <alignment horizontal="center"/>
    </xf>
    <xf numFmtId="0" fontId="26" fillId="0" borderId="12" xfId="0" applyFont="1" applyFill="1" applyBorder="1" applyAlignment="1" applyProtection="1">
      <alignment horizontal="center"/>
    </xf>
    <xf numFmtId="0" fontId="26" fillId="0" borderId="10" xfId="0" applyFont="1" applyFill="1" applyBorder="1" applyAlignment="1" applyProtection="1">
      <alignment horizontal="center"/>
    </xf>
    <xf numFmtId="0" fontId="25" fillId="0" borderId="14" xfId="0" applyFont="1" applyFill="1" applyBorder="1" applyAlignment="1" applyProtection="1">
      <alignment vertical="center"/>
    </xf>
    <xf numFmtId="0" fontId="25" fillId="0" borderId="0" xfId="0" applyFont="1" applyFill="1" applyAlignment="1" applyProtection="1">
      <alignment vertical="center"/>
    </xf>
    <xf numFmtId="0" fontId="23" fillId="0" borderId="0" xfId="0" applyNumberFormat="1" applyFont="1" applyFill="1" applyProtection="1"/>
    <xf numFmtId="1" fontId="23" fillId="0" borderId="0" xfId="0" applyNumberFormat="1" applyFont="1" applyFill="1" applyProtection="1"/>
    <xf numFmtId="2" fontId="23" fillId="0" borderId="0" xfId="0" applyNumberFormat="1" applyFont="1" applyFill="1" applyProtection="1"/>
    <xf numFmtId="49" fontId="23" fillId="0" borderId="0" xfId="0" applyNumberFormat="1" applyFont="1" applyFill="1" applyProtection="1"/>
    <xf numFmtId="2" fontId="23" fillId="0" borderId="0" xfId="0" applyNumberFormat="1" applyFont="1" applyFill="1" applyAlignment="1" applyProtection="1">
      <alignment horizontal="center"/>
    </xf>
    <xf numFmtId="0" fontId="25" fillId="0" borderId="0" xfId="0" applyFont="1" applyFill="1" applyBorder="1" applyAlignment="1" applyProtection="1"/>
    <xf numFmtId="0" fontId="23" fillId="0" borderId="0" xfId="0" applyFont="1" applyFill="1" applyAlignment="1" applyProtection="1">
      <alignment horizontal="right"/>
    </xf>
    <xf numFmtId="0" fontId="4" fillId="0" borderId="0" xfId="0" applyFont="1" applyFill="1" applyProtection="1"/>
    <xf numFmtId="0" fontId="34" fillId="0" borderId="0" xfId="0" applyFont="1" applyAlignment="1">
      <alignment horizontal="center" vertical="center" wrapText="1"/>
    </xf>
    <xf numFmtId="0" fontId="0" fillId="0" borderId="0" xfId="0" applyProtection="1"/>
    <xf numFmtId="0" fontId="10" fillId="0" borderId="0" xfId="0" applyFont="1" applyFill="1" applyBorder="1" applyProtection="1"/>
    <xf numFmtId="1" fontId="23" fillId="0" borderId="0" xfId="0" applyNumberFormat="1" applyFont="1" applyFill="1" applyAlignment="1" applyProtection="1">
      <alignment horizontal="center"/>
    </xf>
    <xf numFmtId="0" fontId="24" fillId="0" borderId="13" xfId="0" applyFont="1" applyFill="1" applyBorder="1" applyProtection="1"/>
    <xf numFmtId="0" fontId="23" fillId="0" borderId="0" xfId="0" applyFont="1" applyFill="1" applyProtection="1">
      <protection locked="0"/>
    </xf>
    <xf numFmtId="0" fontId="23" fillId="0" borderId="0" xfId="0" quotePrefix="1" applyNumberFormat="1" applyFont="1" applyFill="1" applyProtection="1">
      <protection locked="0"/>
    </xf>
    <xf numFmtId="0" fontId="23" fillId="0" borderId="0" xfId="0" applyNumberFormat="1" applyFont="1" applyFill="1" applyAlignment="1" applyProtection="1">
      <alignment horizontal="center"/>
    </xf>
    <xf numFmtId="0" fontId="25" fillId="0" borderId="0" xfId="0" applyNumberFormat="1" applyFont="1" applyFill="1" applyAlignment="1" applyProtection="1">
      <alignment horizontal="right"/>
    </xf>
    <xf numFmtId="0" fontId="25" fillId="0" borderId="10" xfId="0" applyNumberFormat="1" applyFont="1" applyFill="1" applyBorder="1" applyAlignment="1" applyProtection="1">
      <alignment horizontal="right"/>
    </xf>
    <xf numFmtId="0" fontId="25" fillId="0" borderId="12" xfId="0" applyNumberFormat="1" applyFont="1" applyFill="1" applyBorder="1" applyProtection="1"/>
    <xf numFmtId="0" fontId="25" fillId="0" borderId="0" xfId="0" applyNumberFormat="1" applyFont="1" applyFill="1" applyBorder="1" applyAlignment="1" applyProtection="1">
      <alignment horizontal="right"/>
    </xf>
    <xf numFmtId="0" fontId="21"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0" xfId="0" applyFill="1" applyBorder="1" applyProtection="1"/>
    <xf numFmtId="49" fontId="10" fillId="0" borderId="0" xfId="0" applyNumberFormat="1" applyFont="1" applyFill="1" applyBorder="1" applyAlignment="1" applyProtection="1">
      <alignment horizontal="left"/>
    </xf>
    <xf numFmtId="0" fontId="31" fillId="0" borderId="0" xfId="0" applyFont="1" applyFill="1" applyBorder="1" applyProtection="1"/>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32" fillId="0" borderId="0" xfId="0" applyFont="1" applyFill="1" applyBorder="1" applyProtection="1"/>
    <xf numFmtId="49" fontId="12" fillId="0" borderId="0" xfId="0" applyNumberFormat="1" applyFont="1" applyFill="1" applyBorder="1" applyProtection="1"/>
    <xf numFmtId="49" fontId="12" fillId="0" borderId="0" xfId="0" applyNumberFormat="1" applyFont="1" applyFill="1" applyBorder="1" applyAlignment="1" applyProtection="1">
      <alignment horizontal="left" vertical="center"/>
    </xf>
    <xf numFmtId="0" fontId="27" fillId="0" borderId="0" xfId="0" applyFont="1" applyFill="1" applyBorder="1" applyAlignment="1" applyProtection="1"/>
    <xf numFmtId="0" fontId="12" fillId="0" borderId="0" xfId="0" applyFont="1" applyFill="1" applyBorder="1" applyAlignment="1" applyProtection="1"/>
    <xf numFmtId="0" fontId="27" fillId="0"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0" fontId="5" fillId="0" borderId="0" xfId="0" applyFont="1" applyFill="1" applyBorder="1" applyAlignment="1" applyProtection="1">
      <alignment horizontal="center"/>
    </xf>
    <xf numFmtId="0" fontId="28" fillId="0" borderId="0" xfId="0" applyFont="1" applyFill="1" applyBorder="1" applyAlignment="1" applyProtection="1"/>
    <xf numFmtId="0" fontId="31" fillId="0" borderId="0" xfId="0" applyFont="1" applyFill="1" applyBorder="1" applyAlignment="1" applyProtection="1"/>
    <xf numFmtId="0" fontId="32" fillId="0" borderId="0" xfId="0" applyFont="1" applyFill="1" applyBorder="1" applyAlignment="1" applyProtection="1"/>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left"/>
    </xf>
    <xf numFmtId="49" fontId="5" fillId="0" borderId="0" xfId="0" applyNumberFormat="1" applyFont="1" applyFill="1" applyBorder="1" applyAlignment="1" applyProtection="1">
      <alignment horizontal="left"/>
    </xf>
    <xf numFmtId="0" fontId="8" fillId="0" borderId="0" xfId="0" applyFont="1" applyFill="1" applyBorder="1" applyAlignment="1" applyProtection="1"/>
    <xf numFmtId="0" fontId="28" fillId="0" borderId="0" xfId="0" applyFont="1" applyFill="1" applyBorder="1" applyAlignment="1" applyProtection="1">
      <alignment horizontal="left"/>
    </xf>
    <xf numFmtId="0" fontId="9" fillId="0" borderId="0" xfId="0" applyFont="1" applyProtection="1">
      <protection locked="0"/>
    </xf>
    <xf numFmtId="0" fontId="9" fillId="18" borderId="0" xfId="0" applyFont="1" applyFill="1" applyAlignment="1" applyProtection="1">
      <alignment horizontal="center"/>
      <protection locked="0"/>
    </xf>
    <xf numFmtId="0" fontId="9" fillId="0" borderId="0" xfId="0" applyFont="1" applyAlignment="1" applyProtection="1">
      <alignment horizontal="center"/>
      <protection locked="0"/>
    </xf>
    <xf numFmtId="0" fontId="0" fillId="0" borderId="0" xfId="0" applyProtection="1">
      <protection locked="0"/>
    </xf>
    <xf numFmtId="0" fontId="9" fillId="0" borderId="0" xfId="0" applyFont="1" applyFill="1" applyAlignment="1" applyProtection="1">
      <alignment horizontal="center"/>
      <protection locked="0"/>
    </xf>
    <xf numFmtId="0" fontId="0" fillId="0" borderId="0" xfId="0" applyAlignment="1" applyProtection="1">
      <alignment horizontal="center"/>
      <protection locked="0"/>
    </xf>
    <xf numFmtId="0" fontId="34" fillId="0" borderId="0" xfId="0" applyFont="1" applyAlignment="1" applyProtection="1">
      <alignment horizontal="center"/>
      <protection locked="0"/>
    </xf>
    <xf numFmtId="0" fontId="35" fillId="0" borderId="0" xfId="0" applyFont="1" applyProtection="1">
      <protection locked="0"/>
    </xf>
    <xf numFmtId="0" fontId="10" fillId="0" borderId="0" xfId="0" applyFont="1" applyAlignment="1" applyProtection="1">
      <alignment horizontal="left"/>
      <protection locked="0"/>
    </xf>
    <xf numFmtId="0" fontId="0" fillId="0" borderId="0" xfId="0" quotePrefix="1" applyAlignment="1" applyProtection="1">
      <alignment horizontal="center"/>
      <protection locked="0"/>
    </xf>
    <xf numFmtId="0" fontId="10" fillId="0" borderId="0" xfId="0" applyFont="1" applyAlignment="1" applyProtection="1">
      <alignment horizontal="center"/>
      <protection locked="0"/>
    </xf>
    <xf numFmtId="0" fontId="34" fillId="0" borderId="0" xfId="0" applyFont="1" applyProtection="1">
      <protection locked="0"/>
    </xf>
    <xf numFmtId="0" fontId="10" fillId="0" borderId="0" xfId="0" applyFont="1" applyBorder="1" applyAlignment="1" applyProtection="1">
      <alignment horizontal="center"/>
      <protection locked="0"/>
    </xf>
    <xf numFmtId="0" fontId="10" fillId="0" borderId="0" xfId="0" quotePrefix="1" applyNumberFormat="1" applyFont="1" applyBorder="1" applyAlignment="1" applyProtection="1">
      <alignment horizontal="left"/>
      <protection locked="0"/>
    </xf>
    <xf numFmtId="0" fontId="35" fillId="0" borderId="0" xfId="0" quotePrefix="1" applyNumberFormat="1" applyFont="1" applyBorder="1" applyAlignment="1" applyProtection="1">
      <alignment horizontal="left"/>
      <protection locked="0"/>
    </xf>
    <xf numFmtId="0" fontId="36" fillId="0" borderId="0" xfId="0" applyFont="1" applyAlignment="1" applyProtection="1">
      <alignment horizontal="center"/>
      <protection locked="0"/>
    </xf>
    <xf numFmtId="0" fontId="35" fillId="0" borderId="0" xfId="0" applyFont="1" applyAlignment="1" applyProtection="1">
      <alignment horizontal="left"/>
      <protection locked="0"/>
    </xf>
    <xf numFmtId="0" fontId="35" fillId="0" borderId="0" xfId="0" applyFont="1" applyAlignment="1" applyProtection="1">
      <alignment horizontal="center"/>
      <protection locked="0"/>
    </xf>
    <xf numFmtId="0" fontId="10" fillId="0" borderId="0" xfId="0" applyFont="1" applyFill="1" applyAlignment="1" applyProtection="1">
      <alignment horizontal="left"/>
      <protection locked="0"/>
    </xf>
    <xf numFmtId="0" fontId="35" fillId="0" borderId="0" xfId="0" applyFont="1" applyBorder="1" applyAlignment="1" applyProtection="1">
      <alignment horizontal="center"/>
      <protection locked="0"/>
    </xf>
    <xf numFmtId="0" fontId="10" fillId="0" borderId="0" xfId="0" applyFont="1" applyProtection="1">
      <protection locked="0"/>
    </xf>
    <xf numFmtId="0" fontId="10" fillId="0" borderId="0" xfId="0" quotePrefix="1" applyFont="1" applyAlignment="1" applyProtection="1">
      <alignment horizontal="center"/>
      <protection locked="0"/>
    </xf>
    <xf numFmtId="0" fontId="31" fillId="0" borderId="0" xfId="0" applyFont="1" applyAlignment="1" applyProtection="1">
      <alignment horizontal="center"/>
      <protection locked="0"/>
    </xf>
    <xf numFmtId="0" fontId="10" fillId="0" borderId="0" xfId="0" applyFont="1" applyAlignment="1" applyProtection="1">
      <alignment horizontal="left"/>
    </xf>
    <xf numFmtId="0" fontId="10" fillId="0" borderId="0" xfId="0" applyFont="1" applyFill="1" applyBorder="1" applyAlignment="1" applyProtection="1">
      <alignment horizontal="left"/>
    </xf>
    <xf numFmtId="0" fontId="10" fillId="0" borderId="0" xfId="0" applyFont="1" applyFill="1" applyAlignment="1" applyProtection="1">
      <alignment horizontal="left"/>
    </xf>
    <xf numFmtId="0" fontId="34" fillId="0" borderId="0" xfId="0" applyFont="1" applyAlignment="1" applyProtection="1">
      <alignment horizontal="center"/>
    </xf>
    <xf numFmtId="0" fontId="0" fillId="0" borderId="0" xfId="0" quotePrefix="1" applyAlignment="1" applyProtection="1">
      <alignment horizontal="center"/>
    </xf>
    <xf numFmtId="0" fontId="0" fillId="0" borderId="0" xfId="0" applyAlignment="1" applyProtection="1">
      <alignment horizontal="center"/>
    </xf>
    <xf numFmtId="0" fontId="10" fillId="0" borderId="0" xfId="0" applyFont="1" applyAlignment="1" applyProtection="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10" fillId="0" borderId="0" xfId="0" applyFont="1" applyFill="1" applyBorder="1" applyAlignment="1">
      <alignment horizontal="left" vertical="center"/>
    </xf>
    <xf numFmtId="166" fontId="17" fillId="0" borderId="0" xfId="0" applyNumberFormat="1" applyFont="1" applyAlignment="1" applyProtection="1">
      <alignment horizontal="left" vertical="center" wrapText="1"/>
    </xf>
    <xf numFmtId="0" fontId="0" fillId="0" borderId="0" xfId="0" applyFill="1" applyBorder="1" applyAlignment="1">
      <alignment horizontal="left" vertical="center"/>
    </xf>
    <xf numFmtId="0" fontId="43" fillId="0" borderId="0" xfId="0" applyFont="1"/>
    <xf numFmtId="0" fontId="44" fillId="0" borderId="0" xfId="0" applyFont="1"/>
    <xf numFmtId="0" fontId="11" fillId="0" borderId="0" xfId="50" applyAlignment="1" applyProtection="1"/>
    <xf numFmtId="0" fontId="10" fillId="0" borderId="0" xfId="0" applyFont="1" applyFill="1" applyBorder="1" applyAlignment="1" applyProtection="1">
      <alignment horizontal="left" vertical="center"/>
    </xf>
    <xf numFmtId="0" fontId="5" fillId="0" borderId="0" xfId="0" applyFont="1" applyBorder="1" applyAlignment="1" applyProtection="1">
      <alignment vertical="center" wrapText="1"/>
    </xf>
    <xf numFmtId="49" fontId="48" fillId="0" borderId="0" xfId="0" applyNumberFormat="1" applyFont="1" applyFill="1" applyBorder="1" applyAlignment="1" applyProtection="1">
      <alignment horizontal="left"/>
    </xf>
    <xf numFmtId="0" fontId="51" fillId="0" borderId="0" xfId="0" applyFont="1" applyFill="1" applyBorder="1" applyAlignment="1" applyProtection="1"/>
    <xf numFmtId="0" fontId="47" fillId="0" borderId="0" xfId="0" applyFont="1" applyFill="1" applyBorder="1" applyAlignment="1" applyProtection="1">
      <alignment vertical="center"/>
    </xf>
    <xf numFmtId="49" fontId="54" fillId="0" borderId="0" xfId="0" applyNumberFormat="1" applyFont="1" applyFill="1" applyBorder="1" applyAlignment="1" applyProtection="1"/>
    <xf numFmtId="0" fontId="53" fillId="0" borderId="0" xfId="0" applyFont="1" applyFill="1" applyBorder="1" applyAlignment="1" applyProtection="1"/>
    <xf numFmtId="0" fontId="47" fillId="0" borderId="0" xfId="0" applyFont="1" applyFill="1" applyBorder="1" applyAlignment="1" applyProtection="1"/>
    <xf numFmtId="0" fontId="47" fillId="0" borderId="0" xfId="0" applyFont="1" applyFill="1" applyBorder="1" applyAlignment="1" applyProtection="1">
      <alignment horizontal="left" vertical="center"/>
    </xf>
    <xf numFmtId="0" fontId="54" fillId="0" borderId="0" xfId="0" applyFont="1" applyFill="1" applyBorder="1" applyAlignment="1" applyProtection="1"/>
    <xf numFmtId="0" fontId="47" fillId="0" borderId="0" xfId="0" applyFont="1" applyFill="1" applyBorder="1" applyAlignment="1" applyProtection="1">
      <alignment horizontal="left"/>
    </xf>
    <xf numFmtId="0" fontId="51" fillId="0" borderId="0" xfId="0" applyFont="1" applyFill="1" applyBorder="1" applyAlignment="1" applyProtection="1">
      <alignment horizontal="left"/>
    </xf>
    <xf numFmtId="0" fontId="6" fillId="0" borderId="11" xfId="0" applyFont="1" applyFill="1" applyBorder="1" applyAlignment="1">
      <alignment vertical="center" wrapText="1"/>
    </xf>
    <xf numFmtId="0" fontId="6" fillId="0" borderId="0" xfId="0" applyFont="1" applyFill="1" applyBorder="1" applyAlignment="1" applyProtection="1">
      <alignment vertical="center"/>
    </xf>
    <xf numFmtId="0" fontId="6" fillId="0" borderId="0" xfId="0" applyFont="1" applyFill="1" applyBorder="1" applyAlignment="1">
      <alignment vertical="center" wrapText="1"/>
    </xf>
    <xf numFmtId="0" fontId="55" fillId="0" borderId="0" xfId="0" applyFont="1" applyBorder="1" applyAlignment="1">
      <alignment vertical="center" wrapText="1"/>
    </xf>
    <xf numFmtId="0" fontId="55" fillId="0" borderId="0" xfId="0" applyFont="1" applyBorder="1" applyAlignment="1" applyProtection="1">
      <alignment vertical="center" wrapText="1"/>
      <protection locked="0"/>
    </xf>
    <xf numFmtId="0" fontId="55" fillId="0" borderId="0" xfId="0" applyFont="1" applyBorder="1" applyAlignment="1" applyProtection="1">
      <alignment vertical="center" wrapText="1"/>
    </xf>
    <xf numFmtId="0" fontId="56" fillId="0" borderId="0" xfId="0" applyFont="1" applyBorder="1" applyAlignment="1" applyProtection="1">
      <alignment vertical="center"/>
      <protection locked="0"/>
    </xf>
    <xf numFmtId="0" fontId="6" fillId="0" borderId="0" xfId="0" applyFont="1" applyBorder="1" applyAlignment="1">
      <alignment vertical="center"/>
    </xf>
    <xf numFmtId="0" fontId="5" fillId="0" borderId="0" xfId="0" applyFont="1" applyAlignment="1">
      <alignment vertical="center"/>
    </xf>
    <xf numFmtId="0" fontId="10" fillId="0" borderId="0" xfId="0" applyFont="1" applyAlignment="1">
      <alignment vertical="center"/>
    </xf>
    <xf numFmtId="0" fontId="6" fillId="0" borderId="10" xfId="0" applyFont="1" applyFill="1" applyBorder="1" applyAlignment="1">
      <alignment horizontal="center" vertical="center"/>
    </xf>
    <xf numFmtId="0" fontId="5" fillId="0" borderId="0" xfId="0" applyFont="1" applyAlignment="1" applyProtection="1">
      <alignment vertical="center"/>
      <protection locked="0"/>
    </xf>
    <xf numFmtId="0" fontId="16"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5" fillId="19" borderId="0" xfId="0" applyFont="1" applyFill="1" applyBorder="1" applyAlignment="1">
      <alignment vertical="center"/>
    </xf>
    <xf numFmtId="0" fontId="5" fillId="0" borderId="0" xfId="0" applyFont="1" applyAlignment="1" applyProtection="1">
      <alignment vertical="center"/>
    </xf>
    <xf numFmtId="0" fontId="10" fillId="0" borderId="0" xfId="0" applyFont="1" applyAlignment="1" applyProtection="1">
      <alignment vertical="center"/>
    </xf>
    <xf numFmtId="0" fontId="16" fillId="0" borderId="0" xfId="0" applyFont="1" applyBorder="1" applyAlignment="1">
      <alignment vertical="center" wrapText="1"/>
    </xf>
    <xf numFmtId="0" fontId="10" fillId="0" borderId="0" xfId="0" applyFont="1" applyFill="1" applyBorder="1" applyAlignment="1" applyProtection="1">
      <alignment vertical="center"/>
    </xf>
    <xf numFmtId="0" fontId="5" fillId="0" borderId="0" xfId="0" applyFont="1" applyFill="1" applyAlignment="1" applyProtection="1">
      <alignment vertical="center"/>
    </xf>
    <xf numFmtId="0" fontId="38" fillId="0" borderId="0" xfId="0" applyFont="1" applyFill="1" applyAlignment="1" applyProtection="1">
      <alignment vertical="center"/>
    </xf>
    <xf numFmtId="0" fontId="55" fillId="0" borderId="0" xfId="0" applyFont="1" applyAlignment="1">
      <alignment vertical="center"/>
    </xf>
    <xf numFmtId="0" fontId="55" fillId="0" borderId="0" xfId="0" applyFont="1" applyFill="1" applyBorder="1" applyAlignment="1">
      <alignment vertical="center"/>
    </xf>
    <xf numFmtId="0" fontId="55" fillId="0" borderId="0" xfId="0" applyFont="1" applyAlignment="1" applyProtection="1">
      <alignment vertical="center"/>
    </xf>
    <xf numFmtId="0" fontId="6" fillId="0" borderId="0" xfId="0" applyFont="1" applyBorder="1" applyAlignment="1" applyProtection="1">
      <alignment vertical="center"/>
    </xf>
    <xf numFmtId="0" fontId="10" fillId="0" borderId="0" xfId="0" applyFont="1" applyAlignment="1">
      <alignment wrapText="1"/>
    </xf>
    <xf numFmtId="0" fontId="58" fillId="0" borderId="0" xfId="0" applyFont="1"/>
    <xf numFmtId="0" fontId="9" fillId="0" borderId="0" xfId="0" applyFont="1" applyBorder="1"/>
    <xf numFmtId="0" fontId="10" fillId="0" borderId="0" xfId="0" applyFont="1" applyBorder="1" applyAlignment="1">
      <alignment vertical="center"/>
    </xf>
    <xf numFmtId="0" fontId="5" fillId="0" borderId="0" xfId="0" applyFont="1" applyFill="1" applyBorder="1" applyAlignment="1" applyProtection="1">
      <alignment vertical="center"/>
      <protection locked="0"/>
    </xf>
    <xf numFmtId="0" fontId="17" fillId="0" borderId="0" xfId="0" applyFont="1" applyFill="1" applyBorder="1" applyAlignment="1">
      <alignment vertical="center" wrapText="1"/>
    </xf>
    <xf numFmtId="0" fontId="38" fillId="0" borderId="0" xfId="0" applyFont="1" applyAlignment="1">
      <alignment vertical="center"/>
    </xf>
    <xf numFmtId="0" fontId="6" fillId="0" borderId="0" xfId="0" applyFont="1" applyAlignment="1">
      <alignment horizontal="center" vertical="center"/>
    </xf>
    <xf numFmtId="0" fontId="48" fillId="0" borderId="0" xfId="0" applyFont="1" applyFill="1" applyBorder="1" applyProtection="1"/>
    <xf numFmtId="0" fontId="60" fillId="0" borderId="0" xfId="0" applyFont="1" applyFill="1" applyAlignment="1" applyProtection="1">
      <alignment horizontal="center"/>
    </xf>
    <xf numFmtId="0" fontId="45" fillId="0" borderId="0" xfId="0" applyFont="1" applyAlignment="1">
      <alignment vertical="center"/>
    </xf>
    <xf numFmtId="0" fontId="5" fillId="0" borderId="0" xfId="0" applyFont="1" applyFill="1" applyBorder="1" applyAlignment="1" applyProtection="1">
      <alignment horizontal="left"/>
      <protection locked="0"/>
    </xf>
    <xf numFmtId="0" fontId="10" fillId="0" borderId="0" xfId="0" applyFont="1" applyFill="1"/>
    <xf numFmtId="0" fontId="4" fillId="0" borderId="0" xfId="0" applyFont="1" applyFill="1" applyBorder="1" applyProtection="1"/>
    <xf numFmtId="0" fontId="63" fillId="0" borderId="0" xfId="0" applyFont="1" applyFill="1" applyBorder="1" applyProtection="1"/>
    <xf numFmtId="0" fontId="63" fillId="0" borderId="0" xfId="0" applyFont="1" applyFill="1" applyBorder="1" applyAlignment="1" applyProtection="1"/>
    <xf numFmtId="0" fontId="63" fillId="0" borderId="0" xfId="0" applyFont="1" applyFill="1" applyAlignment="1"/>
    <xf numFmtId="0" fontId="10" fillId="0" borderId="0" xfId="0" applyFont="1" applyFill="1" applyBorder="1" applyAlignment="1" applyProtection="1">
      <alignment horizontal="left"/>
      <protection locked="0"/>
    </xf>
    <xf numFmtId="20" fontId="10" fillId="0" borderId="0" xfId="0" applyNumberFormat="1" applyFont="1" applyFill="1" applyBorder="1" applyAlignment="1" applyProtection="1">
      <alignment horizontal="left"/>
      <protection locked="0"/>
    </xf>
    <xf numFmtId="0" fontId="63" fillId="0" borderId="0" xfId="0" applyFont="1" applyFill="1" applyBorder="1" applyProtection="1">
      <protection locked="0"/>
    </xf>
    <xf numFmtId="0" fontId="10" fillId="0" borderId="0" xfId="0" applyFont="1" applyFill="1" applyBorder="1" applyAlignment="1"/>
    <xf numFmtId="0" fontId="63" fillId="0" borderId="0" xfId="0" applyFont="1" applyFill="1" applyBorder="1" applyAlignment="1"/>
    <xf numFmtId="0" fontId="63" fillId="0" borderId="0" xfId="0" applyFont="1" applyFill="1"/>
    <xf numFmtId="0" fontId="48" fillId="0" borderId="0" xfId="0" applyFont="1" applyFill="1"/>
    <xf numFmtId="0" fontId="29" fillId="0" borderId="0" xfId="0" applyFont="1" applyFill="1" applyBorder="1" applyProtection="1"/>
    <xf numFmtId="0" fontId="29" fillId="0" borderId="0" xfId="0" applyFont="1" applyFill="1" applyBorder="1" applyAlignment="1" applyProtection="1">
      <alignment horizontal="left"/>
    </xf>
    <xf numFmtId="49" fontId="47" fillId="0" borderId="0" xfId="0" applyNumberFormat="1" applyFont="1" applyFill="1" applyBorder="1" applyAlignment="1" applyProtection="1">
      <alignment horizontal="left"/>
    </xf>
    <xf numFmtId="49" fontId="63" fillId="0" borderId="0" xfId="0" applyNumberFormat="1" applyFont="1" applyFill="1" applyBorder="1" applyAlignment="1" applyProtection="1">
      <alignment horizontal="left"/>
    </xf>
    <xf numFmtId="0" fontId="63" fillId="0" borderId="0" xfId="0" applyFont="1" applyFill="1" applyBorder="1" applyAlignment="1" applyProtection="1">
      <alignment horizontal="left" vertical="center"/>
    </xf>
    <xf numFmtId="0" fontId="64" fillId="0" borderId="0" xfId="0" applyFont="1" applyFill="1"/>
    <xf numFmtId="0" fontId="47" fillId="0" borderId="0" xfId="0" applyFont="1" applyFill="1"/>
    <xf numFmtId="49" fontId="64" fillId="0" borderId="0" xfId="0" applyNumberFormat="1" applyFont="1" applyFill="1" applyBorder="1" applyAlignment="1" applyProtection="1">
      <alignment horizontal="left"/>
    </xf>
    <xf numFmtId="0" fontId="47" fillId="0" borderId="0" xfId="0" applyFont="1" applyFill="1" applyAlignment="1">
      <alignment vertical="center"/>
    </xf>
    <xf numFmtId="0" fontId="65" fillId="0" borderId="0" xfId="0" applyFont="1" applyFill="1" applyBorder="1" applyProtection="1"/>
    <xf numFmtId="0" fontId="12" fillId="0" borderId="0" xfId="0" applyFont="1" applyFill="1" applyBorder="1" applyAlignment="1" applyProtection="1">
      <alignment horizontal="left"/>
    </xf>
    <xf numFmtId="0" fontId="5"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protection locked="0"/>
    </xf>
    <xf numFmtId="0" fontId="5" fillId="0" borderId="0" xfId="0" applyFont="1" applyFill="1" applyBorder="1" applyAlignment="1" applyProtection="1">
      <protection locked="0"/>
    </xf>
    <xf numFmtId="0" fontId="12" fillId="0" borderId="0" xfId="0" applyFont="1" applyFill="1" applyBorder="1" applyAlignment="1" applyProtection="1">
      <protection locked="0"/>
    </xf>
    <xf numFmtId="0" fontId="8" fillId="0" borderId="0" xfId="0" applyFont="1" applyFill="1" applyBorder="1" applyAlignment="1" applyProtection="1">
      <alignment horizontal="left" vertical="center"/>
    </xf>
    <xf numFmtId="0" fontId="5" fillId="0" borderId="0" xfId="0" applyFont="1" applyFill="1" applyBorder="1" applyProtection="1">
      <protection locked="0"/>
    </xf>
    <xf numFmtId="0" fontId="65" fillId="0" borderId="0" xfId="0" applyFont="1" applyFill="1"/>
    <xf numFmtId="0" fontId="17" fillId="0" borderId="0" xfId="0" applyFont="1" applyFill="1" applyBorder="1" applyAlignment="1" applyProtection="1"/>
    <xf numFmtId="0" fontId="46" fillId="0" borderId="0" xfId="0" applyFont="1" applyFill="1"/>
    <xf numFmtId="0" fontId="14" fillId="0" borderId="0" xfId="0" applyFont="1" applyFill="1" applyBorder="1" applyAlignment="1" applyProtection="1"/>
    <xf numFmtId="0" fontId="27" fillId="0" borderId="0" xfId="0" applyFont="1" applyFill="1" applyBorder="1" applyProtection="1"/>
    <xf numFmtId="0" fontId="19" fillId="0" borderId="0" xfId="0" applyFont="1" applyFill="1" applyAlignment="1"/>
    <xf numFmtId="0" fontId="14" fillId="0" borderId="0" xfId="0" applyFont="1" applyFill="1" applyBorder="1" applyAlignment="1" applyProtection="1">
      <alignment horizontal="left" vertical="center"/>
    </xf>
    <xf numFmtId="0" fontId="14" fillId="0" borderId="0" xfId="0" applyFont="1" applyFill="1" applyBorder="1" applyAlignment="1" applyProtection="1">
      <protection locked="0"/>
    </xf>
    <xf numFmtId="0" fontId="27" fillId="0" borderId="0" xfId="0" applyFont="1" applyFill="1" applyBorder="1" applyProtection="1">
      <protection locked="0"/>
    </xf>
    <xf numFmtId="0" fontId="52" fillId="0" borderId="0" xfId="0" applyFont="1" applyFill="1" applyBorder="1" applyAlignment="1" applyProtection="1"/>
    <xf numFmtId="0" fontId="0" fillId="0" borderId="0" xfId="0" applyFill="1" applyBorder="1" applyProtection="1">
      <protection locked="0"/>
    </xf>
    <xf numFmtId="49" fontId="12" fillId="0" borderId="0" xfId="0" applyNumberFormat="1" applyFont="1" applyFill="1" applyBorder="1" applyProtection="1">
      <protection locked="0"/>
    </xf>
    <xf numFmtId="0" fontId="46" fillId="0" borderId="0" xfId="0" applyFont="1" applyFill="1" applyBorder="1" applyAlignment="1" applyProtection="1"/>
    <xf numFmtId="0" fontId="27" fillId="0" borderId="0" xfId="0" applyFont="1" applyFill="1" applyBorder="1" applyAlignment="1" applyProtection="1">
      <protection locked="0"/>
    </xf>
    <xf numFmtId="0" fontId="39" fillId="0" borderId="0" xfId="0" applyFont="1" applyFill="1" applyProtection="1"/>
    <xf numFmtId="0" fontId="63" fillId="0" borderId="0" xfId="0" applyFont="1" applyFill="1" applyBorder="1" applyAlignment="1" applyProtection="1">
      <alignment horizontal="left"/>
    </xf>
    <xf numFmtId="0" fontId="10" fillId="0" borderId="0" xfId="0" applyFont="1" applyFill="1" applyBorder="1" applyAlignment="1" applyProtection="1"/>
    <xf numFmtId="0" fontId="8" fillId="0" borderId="0" xfId="0" applyFont="1" applyFill="1" applyBorder="1" applyAlignment="1" applyProtection="1">
      <alignment horizontal="left"/>
    </xf>
    <xf numFmtId="0" fontId="0" fillId="0" borderId="0" xfId="0" applyFill="1" applyBorder="1" applyAlignment="1" applyProtection="1"/>
    <xf numFmtId="0" fontId="10" fillId="0" borderId="0" xfId="0" applyFont="1" applyFill="1" applyBorder="1" applyProtection="1">
      <protection locked="0"/>
    </xf>
    <xf numFmtId="0" fontId="63" fillId="0" borderId="0" xfId="0" applyFont="1" applyFill="1" applyBorder="1" applyAlignment="1" applyProtection="1">
      <protection locked="0"/>
    </xf>
    <xf numFmtId="0" fontId="66" fillId="0" borderId="0" xfId="0" applyFont="1" applyFill="1"/>
    <xf numFmtId="0" fontId="67" fillId="0" borderId="0" xfId="0" applyFont="1" applyFill="1" applyBorder="1" applyProtection="1"/>
    <xf numFmtId="0" fontId="54" fillId="0" borderId="0" xfId="0" applyFont="1" applyFill="1" applyBorder="1" applyAlignment="1" applyProtection="1">
      <alignment horizontal="left"/>
    </xf>
    <xf numFmtId="0" fontId="68" fillId="0" borderId="0" xfId="0" applyFont="1" applyFill="1" applyBorder="1" applyProtection="1"/>
    <xf numFmtId="0" fontId="40" fillId="0" borderId="0" xfId="0" applyFont="1" applyFill="1" applyProtection="1"/>
    <xf numFmtId="0" fontId="5" fillId="0" borderId="0" xfId="0" applyFont="1" applyFill="1" applyBorder="1" applyAlignment="1" applyProtection="1">
      <alignment horizontal="right"/>
    </xf>
    <xf numFmtId="0" fontId="5" fillId="0" borderId="0" xfId="0" applyFont="1" applyFill="1" applyBorder="1" applyAlignment="1" applyProtection="1">
      <alignment vertical="top"/>
    </xf>
    <xf numFmtId="0" fontId="5" fillId="0" borderId="0" xfId="0" applyFont="1" applyFill="1" applyBorder="1" applyAlignment="1" applyProtection="1">
      <alignment vertical="top"/>
      <protection locked="0"/>
    </xf>
    <xf numFmtId="0" fontId="69" fillId="0" borderId="0" xfId="0" applyFont="1" applyFill="1" applyBorder="1" applyAlignment="1" applyProtection="1">
      <alignment horizontal="left"/>
    </xf>
    <xf numFmtId="0" fontId="70" fillId="0" borderId="0" xfId="0" applyFont="1" applyFill="1" applyBorder="1" applyAlignment="1" applyProtection="1">
      <alignment horizontal="left"/>
    </xf>
    <xf numFmtId="0" fontId="28" fillId="0" borderId="0" xfId="0" applyFont="1" applyFill="1" applyBorder="1" applyProtection="1">
      <protection locked="0"/>
    </xf>
    <xf numFmtId="0" fontId="10" fillId="0" borderId="0" xfId="0" applyFont="1" applyFill="1" applyAlignment="1"/>
    <xf numFmtId="0" fontId="21" fillId="0" borderId="0" xfId="0" applyFont="1" applyFill="1" applyBorder="1" applyAlignment="1" applyProtection="1"/>
    <xf numFmtId="0" fontId="21" fillId="0" borderId="0" xfId="0" applyFont="1" applyFill="1" applyBorder="1" applyAlignment="1" applyProtection="1">
      <alignment horizontal="left" vertical="center"/>
    </xf>
    <xf numFmtId="0" fontId="10" fillId="0" borderId="0" xfId="0" applyFont="1" applyFill="1" applyBorder="1" applyAlignment="1" applyProtection="1">
      <protection locked="0"/>
    </xf>
    <xf numFmtId="0" fontId="10" fillId="0" borderId="0" xfId="0" applyFont="1" applyFill="1" applyBorder="1" applyAlignment="1" applyProtection="1">
      <alignment horizontal="left" vertical="center"/>
      <protection locked="0"/>
    </xf>
    <xf numFmtId="0" fontId="21" fillId="0" borderId="0" xfId="0" applyFont="1" applyFill="1" applyBorder="1" applyProtection="1"/>
    <xf numFmtId="0" fontId="10" fillId="0" borderId="11" xfId="0" applyNumberFormat="1" applyFont="1" applyFill="1" applyBorder="1" applyAlignment="1" applyProtection="1"/>
    <xf numFmtId="0" fontId="10" fillId="0" borderId="17" xfId="0" applyFont="1" applyFill="1" applyBorder="1" applyProtection="1"/>
    <xf numFmtId="0" fontId="10" fillId="0" borderId="0" xfId="0" applyNumberFormat="1" applyFont="1" applyFill="1" applyBorder="1" applyAlignment="1" applyProtection="1"/>
    <xf numFmtId="0" fontId="10" fillId="0" borderId="0" xfId="0" applyNumberFormat="1" applyFont="1" applyFill="1" applyBorder="1" applyAlignment="1" applyProtection="1">
      <alignment horizontal="left" vertical="center"/>
    </xf>
    <xf numFmtId="0" fontId="21" fillId="0" borderId="0" xfId="0" applyFont="1" applyFill="1" applyBorder="1" applyAlignment="1" applyProtection="1">
      <alignment horizontal="left"/>
      <protection locked="0"/>
    </xf>
    <xf numFmtId="0" fontId="21" fillId="0" borderId="0" xfId="0" applyFont="1" applyFill="1" applyBorder="1" applyProtection="1">
      <protection locked="0"/>
    </xf>
    <xf numFmtId="0" fontId="10" fillId="0" borderId="0" xfId="0" applyFont="1" applyFill="1" applyBorder="1" applyAlignment="1" applyProtection="1">
      <alignment vertical="center"/>
      <protection locked="0"/>
    </xf>
    <xf numFmtId="0" fontId="10" fillId="0" borderId="17" xfId="0" applyFont="1" applyFill="1" applyBorder="1" applyAlignment="1" applyProtection="1"/>
    <xf numFmtId="0" fontId="10" fillId="0" borderId="0" xfId="0" applyFont="1" applyFill="1" applyBorder="1" applyAlignment="1" applyProtection="1">
      <alignment horizontal="center"/>
    </xf>
    <xf numFmtId="0" fontId="10" fillId="0" borderId="0" xfId="0" applyFont="1" applyFill="1" applyBorder="1" applyAlignment="1" applyProtection="1">
      <alignment horizontal="center"/>
      <protection locked="0"/>
    </xf>
    <xf numFmtId="0" fontId="10" fillId="0" borderId="0" xfId="0" quotePrefix="1" applyFont="1" applyFill="1" applyBorder="1" applyAlignment="1" applyProtection="1">
      <alignment horizontal="left" vertical="center"/>
    </xf>
    <xf numFmtId="0" fontId="13" fillId="0" borderId="0" xfId="0" applyFont="1" applyAlignment="1">
      <alignment vertical="center"/>
    </xf>
    <xf numFmtId="0" fontId="10" fillId="0" borderId="0" xfId="0" applyFont="1" applyBorder="1" applyAlignment="1">
      <alignment vertical="center" wrapText="1"/>
    </xf>
    <xf numFmtId="0" fontId="45" fillId="0" borderId="11" xfId="0" applyFont="1" applyBorder="1" applyAlignment="1">
      <alignment horizontal="right" vertical="center"/>
    </xf>
    <xf numFmtId="0" fontId="9" fillId="0" borderId="0" xfId="0" applyFont="1" applyFill="1" applyBorder="1" applyAlignment="1">
      <alignment vertical="center" wrapText="1"/>
    </xf>
    <xf numFmtId="49" fontId="0" fillId="0" borderId="13" xfId="0" applyNumberFormat="1" applyFill="1" applyBorder="1" applyAlignment="1" applyProtection="1">
      <alignment vertical="center"/>
      <protection locked="0"/>
    </xf>
    <xf numFmtId="2" fontId="5" fillId="0" borderId="13" xfId="0" applyNumberFormat="1" applyFont="1" applyFill="1" applyBorder="1" applyAlignment="1" applyProtection="1">
      <alignment horizontal="left" vertical="center"/>
      <protection locked="0"/>
    </xf>
    <xf numFmtId="49" fontId="5" fillId="0" borderId="13" xfId="0" applyNumberFormat="1" applyFont="1" applyFill="1" applyBorder="1" applyAlignment="1" applyProtection="1">
      <alignment vertical="center"/>
      <protection locked="0"/>
    </xf>
    <xf numFmtId="0" fontId="5" fillId="0" borderId="19" xfId="0" applyFont="1" applyFill="1" applyBorder="1" applyAlignment="1">
      <alignment vertical="center"/>
    </xf>
    <xf numFmtId="0" fontId="5" fillId="0" borderId="13" xfId="0" applyFont="1" applyFill="1" applyBorder="1" applyAlignment="1" applyProtection="1">
      <alignment horizontal="center" vertical="center"/>
      <protection locked="0"/>
    </xf>
    <xf numFmtId="1" fontId="5" fillId="0" borderId="13" xfId="0"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2" fontId="17" fillId="0" borderId="0" xfId="0" applyNumberFormat="1" applyFont="1" applyFill="1" applyBorder="1" applyAlignment="1">
      <alignment horizontal="right" vertical="center"/>
    </xf>
    <xf numFmtId="1" fontId="0" fillId="0" borderId="20" xfId="0" applyNumberFormat="1" applyFill="1" applyBorder="1" applyAlignment="1" applyProtection="1">
      <alignment horizontal="left" vertical="center"/>
      <protection locked="0"/>
    </xf>
    <xf numFmtId="0" fontId="63" fillId="0" borderId="0" xfId="0" applyFont="1" applyFill="1" applyBorder="1" applyAlignment="1">
      <alignment horizontal="left" vertical="center" wrapText="1"/>
    </xf>
    <xf numFmtId="0" fontId="73" fillId="0" borderId="0" xfId="0" applyFont="1" applyAlignment="1">
      <alignment horizontal="left" indent="12"/>
    </xf>
    <xf numFmtId="0" fontId="9" fillId="0" borderId="0" xfId="0" applyFont="1" applyAlignment="1">
      <alignment horizontal="center"/>
    </xf>
    <xf numFmtId="0" fontId="45" fillId="0" borderId="0" xfId="0" applyFont="1" applyFill="1" applyAlignment="1">
      <alignment horizontal="center" vertical="center"/>
    </xf>
    <xf numFmtId="0" fontId="34" fillId="0" borderId="0" xfId="0" applyFont="1" applyFill="1" applyAlignment="1">
      <alignment vertical="center"/>
    </xf>
    <xf numFmtId="0" fontId="45" fillId="0" borderId="0" xfId="0" applyFont="1" applyFill="1" applyAlignment="1">
      <alignment vertical="center"/>
    </xf>
    <xf numFmtId="0" fontId="74" fillId="0" borderId="0" xfId="0" applyFont="1"/>
    <xf numFmtId="0" fontId="37" fillId="0" borderId="0" xfId="50" applyFont="1" applyAlignment="1" applyProtection="1">
      <protection locked="0"/>
    </xf>
    <xf numFmtId="0" fontId="37" fillId="0" borderId="0" xfId="50" applyFont="1" applyBorder="1" applyAlignment="1" applyProtection="1">
      <alignment vertical="center"/>
      <protection locked="0"/>
    </xf>
    <xf numFmtId="0" fontId="10" fillId="0" borderId="0" xfId="0" applyFont="1" applyFill="1" applyBorder="1"/>
    <xf numFmtId="0" fontId="34" fillId="0" borderId="0" xfId="0" applyFont="1" applyBorder="1" applyAlignment="1">
      <alignment horizontal="center" vertical="center" wrapText="1"/>
    </xf>
    <xf numFmtId="0" fontId="5" fillId="0" borderId="11" xfId="0" applyFont="1" applyFill="1" applyBorder="1" applyAlignment="1" applyProtection="1">
      <alignment vertical="center"/>
      <protection locked="0"/>
    </xf>
    <xf numFmtId="49" fontId="5" fillId="0" borderId="0" xfId="0" applyNumberFormat="1" applyFont="1" applyProtection="1">
      <protection locked="0"/>
    </xf>
    <xf numFmtId="0" fontId="9" fillId="0" borderId="0" xfId="0" applyFont="1" applyFill="1" applyAlignment="1">
      <alignment vertical="center"/>
    </xf>
    <xf numFmtId="0" fontId="10" fillId="0" borderId="0" xfId="0" applyFont="1" applyFill="1" applyAlignment="1">
      <alignment vertical="center"/>
    </xf>
    <xf numFmtId="0" fontId="45" fillId="0" borderId="11" xfId="0" applyFont="1" applyFill="1" applyBorder="1" applyAlignment="1">
      <alignment horizontal="left" vertical="center" wrapText="1"/>
    </xf>
    <xf numFmtId="0" fontId="5" fillId="0" borderId="11" xfId="0" applyFont="1" applyBorder="1" applyAlignment="1">
      <alignment vertical="center"/>
    </xf>
    <xf numFmtId="0" fontId="9" fillId="0" borderId="0" xfId="0" applyFont="1" applyFill="1" applyBorder="1" applyAlignment="1" applyProtection="1">
      <alignment horizontal="center" vertical="center" wrapText="1"/>
      <protection locked="0"/>
    </xf>
    <xf numFmtId="49" fontId="6" fillId="0" borderId="0" xfId="0" applyNumberFormat="1" applyFont="1" applyAlignment="1" applyProtection="1">
      <alignment horizontal="center"/>
    </xf>
    <xf numFmtId="49" fontId="5" fillId="0" borderId="0" xfId="0" applyNumberFormat="1" applyFont="1" applyAlignment="1" applyProtection="1">
      <alignment horizontal="center"/>
    </xf>
    <xf numFmtId="0" fontId="76" fillId="0" borderId="0" xfId="0" applyFont="1" applyProtection="1"/>
    <xf numFmtId="49" fontId="5" fillId="0" borderId="0" xfId="0" applyNumberFormat="1" applyFont="1" applyAlignment="1" applyProtection="1">
      <alignment horizontal="left"/>
    </xf>
    <xf numFmtId="49" fontId="5" fillId="0" borderId="0" xfId="0" applyNumberFormat="1" applyFont="1" applyAlignment="1" applyProtection="1"/>
    <xf numFmtId="49" fontId="5" fillId="0" borderId="0" xfId="0" applyNumberFormat="1" applyFont="1" applyProtection="1"/>
    <xf numFmtId="49" fontId="5" fillId="0" borderId="0" xfId="0" quotePrefix="1" applyNumberFormat="1" applyFont="1" applyAlignment="1" applyProtection="1">
      <alignment horizontal="center"/>
    </xf>
    <xf numFmtId="49" fontId="6" fillId="0" borderId="0" xfId="0" quotePrefix="1" applyNumberFormat="1" applyFont="1" applyAlignment="1" applyProtection="1">
      <alignment horizontal="center"/>
    </xf>
    <xf numFmtId="49" fontId="6" fillId="0" borderId="0" xfId="0" applyNumberFormat="1" applyFont="1" applyProtection="1"/>
    <xf numFmtId="49" fontId="5" fillId="0" borderId="0" xfId="0" quotePrefix="1" applyNumberFormat="1" applyFont="1" applyAlignment="1" applyProtection="1"/>
    <xf numFmtId="49" fontId="5" fillId="0" borderId="0" xfId="0" applyNumberFormat="1" applyFont="1" applyFill="1" applyProtection="1"/>
    <xf numFmtId="49" fontId="6" fillId="0" borderId="0" xfId="0" applyNumberFormat="1" applyFont="1" applyFill="1" applyAlignment="1" applyProtection="1">
      <alignment horizontal="center"/>
    </xf>
    <xf numFmtId="49" fontId="5" fillId="0" borderId="0" xfId="0" applyNumberFormat="1" applyFont="1" applyFill="1" applyAlignment="1" applyProtection="1">
      <alignment horizontal="center"/>
    </xf>
    <xf numFmtId="49" fontId="5" fillId="0" borderId="0" xfId="0" quotePrefix="1" applyNumberFormat="1" applyFont="1" applyFill="1" applyAlignment="1" applyProtection="1">
      <alignment horizontal="center"/>
    </xf>
    <xf numFmtId="49" fontId="5" fillId="0" borderId="0" xfId="0" applyNumberFormat="1" applyFont="1" applyFill="1" applyAlignment="1" applyProtection="1"/>
    <xf numFmtId="2" fontId="23" fillId="0" borderId="0" xfId="0" applyNumberFormat="1" applyFont="1" applyFill="1" applyProtection="1">
      <protection locked="0"/>
    </xf>
    <xf numFmtId="0" fontId="34" fillId="0" borderId="0" xfId="0" applyFont="1" applyFill="1" applyAlignment="1" applyProtection="1">
      <alignment horizontal="center"/>
    </xf>
    <xf numFmtId="0" fontId="35" fillId="0" borderId="0" xfId="0" applyFont="1" applyFill="1" applyBorder="1" applyProtection="1"/>
    <xf numFmtId="0" fontId="63" fillId="0" borderId="0" xfId="0" applyFont="1" applyFill="1" applyBorder="1" applyAlignment="1">
      <alignment horizontal="left" vertical="center"/>
    </xf>
    <xf numFmtId="0" fontId="13" fillId="0" borderId="0" xfId="0" applyFont="1" applyFill="1" applyBorder="1" applyAlignment="1" applyProtection="1">
      <alignment horizontal="left"/>
    </xf>
    <xf numFmtId="0" fontId="35" fillId="0" borderId="0" xfId="0" applyFont="1" applyFill="1" applyBorder="1" applyAlignment="1" applyProtection="1">
      <alignment horizontal="left"/>
    </xf>
    <xf numFmtId="0" fontId="6" fillId="0" borderId="0" xfId="0" applyFont="1" applyFill="1" applyBorder="1" applyAlignment="1">
      <alignment vertical="center"/>
    </xf>
    <xf numFmtId="0" fontId="38" fillId="0" borderId="0" xfId="0" applyFont="1" applyBorder="1" applyAlignment="1">
      <alignment vertical="center"/>
    </xf>
    <xf numFmtId="0" fontId="61" fillId="0" borderId="0" xfId="0" applyFont="1" applyFill="1" applyBorder="1" applyAlignment="1">
      <alignment vertical="center" wrapText="1"/>
    </xf>
    <xf numFmtId="0" fontId="38" fillId="0" borderId="0" xfId="0" applyFont="1" applyFill="1" applyBorder="1" applyAlignment="1">
      <alignment vertical="center" wrapText="1"/>
    </xf>
    <xf numFmtId="0" fontId="0" fillId="19" borderId="0" xfId="0" applyFill="1" applyAlignment="1">
      <alignment horizontal="center"/>
    </xf>
    <xf numFmtId="0" fontId="0" fillId="19" borderId="0" xfId="0" applyFill="1" applyAlignment="1">
      <alignment horizontal="left"/>
    </xf>
    <xf numFmtId="0" fontId="4" fillId="19" borderId="0" xfId="0" applyFont="1" applyFill="1" applyBorder="1" applyAlignment="1">
      <alignment horizontal="center"/>
    </xf>
    <xf numFmtId="2" fontId="10" fillId="19" borderId="0" xfId="0" applyNumberFormat="1" applyFont="1" applyFill="1" applyBorder="1" applyAlignment="1">
      <alignment horizontal="center"/>
    </xf>
    <xf numFmtId="0" fontId="0" fillId="19" borderId="0" xfId="0" applyFill="1" applyBorder="1" applyAlignment="1">
      <alignment horizontal="center"/>
    </xf>
    <xf numFmtId="0" fontId="9" fillId="19" borderId="0" xfId="0" applyFont="1" applyFill="1" applyBorder="1" applyAlignment="1">
      <alignment horizontal="center"/>
    </xf>
    <xf numFmtId="0" fontId="42" fillId="19" borderId="0" xfId="0" applyFont="1" applyFill="1" applyBorder="1" applyAlignment="1">
      <alignment horizontal="center"/>
    </xf>
    <xf numFmtId="0" fontId="10" fillId="19" borderId="0" xfId="0" applyFont="1" applyFill="1" applyBorder="1" applyAlignment="1">
      <alignment horizontal="center"/>
    </xf>
    <xf numFmtId="0" fontId="34" fillId="19" borderId="0" xfId="0" applyFont="1" applyFill="1" applyBorder="1" applyAlignment="1">
      <alignment horizontal="center"/>
    </xf>
    <xf numFmtId="0" fontId="0" fillId="19" borderId="0" xfId="0" quotePrefix="1" applyFill="1" applyAlignment="1">
      <alignment horizontal="center"/>
    </xf>
    <xf numFmtId="0" fontId="9" fillId="19" borderId="0" xfId="0" applyFont="1" applyFill="1" applyAlignment="1">
      <alignment horizontal="center"/>
    </xf>
    <xf numFmtId="2" fontId="9" fillId="19" borderId="0" xfId="0" applyNumberFormat="1" applyFont="1" applyFill="1" applyBorder="1" applyAlignment="1">
      <alignment horizontal="center"/>
    </xf>
    <xf numFmtId="2" fontId="0" fillId="19" borderId="0" xfId="0" applyNumberFormat="1" applyFill="1" applyBorder="1" applyAlignment="1">
      <alignment horizontal="center"/>
    </xf>
    <xf numFmtId="0" fontId="9" fillId="19" borderId="13" xfId="0" applyFont="1" applyFill="1" applyBorder="1" applyAlignment="1">
      <alignment horizontal="center"/>
    </xf>
    <xf numFmtId="2" fontId="42" fillId="19" borderId="0" xfId="0" applyNumberFormat="1" applyFont="1" applyFill="1" applyBorder="1" applyAlignment="1">
      <alignment horizontal="center"/>
    </xf>
    <xf numFmtId="0" fontId="0" fillId="19" borderId="13" xfId="0" applyFill="1" applyBorder="1" applyAlignment="1">
      <alignment horizontal="center"/>
    </xf>
    <xf numFmtId="0" fontId="0" fillId="19" borderId="0" xfId="0" applyFill="1" applyBorder="1" applyAlignment="1">
      <alignment horizontal="left"/>
    </xf>
    <xf numFmtId="0" fontId="10" fillId="19" borderId="0" xfId="0" applyFont="1" applyFill="1" applyAlignment="1">
      <alignment horizontal="center"/>
    </xf>
    <xf numFmtId="0" fontId="4" fillId="19" borderId="13" xfId="0" applyFont="1" applyFill="1" applyBorder="1" applyAlignment="1">
      <alignment horizontal="center"/>
    </xf>
    <xf numFmtId="2" fontId="10" fillId="19" borderId="13" xfId="0" applyNumberFormat="1" applyFont="1" applyFill="1" applyBorder="1" applyAlignment="1">
      <alignment horizontal="center"/>
    </xf>
    <xf numFmtId="0" fontId="79" fillId="18" borderId="21" xfId="0" applyFont="1" applyFill="1" applyBorder="1" applyAlignment="1">
      <alignment horizontal="center"/>
    </xf>
    <xf numFmtId="2" fontId="4" fillId="19" borderId="13" xfId="0" applyNumberFormat="1" applyFont="1" applyFill="1" applyBorder="1" applyAlignment="1">
      <alignment horizontal="center"/>
    </xf>
    <xf numFmtId="0" fontId="60" fillId="19" borderId="0" xfId="0" applyFont="1" applyFill="1" applyBorder="1" applyAlignment="1">
      <alignment horizontal="center"/>
    </xf>
    <xf numFmtId="0" fontId="42" fillId="20" borderId="18" xfId="0" applyFont="1" applyFill="1" applyBorder="1" applyAlignment="1">
      <alignment horizontal="center"/>
    </xf>
    <xf numFmtId="2" fontId="9" fillId="18" borderId="21" xfId="0" applyNumberFormat="1" applyFont="1" applyFill="1" applyBorder="1" applyAlignment="1">
      <alignment horizontal="center"/>
    </xf>
    <xf numFmtId="2" fontId="9" fillId="19" borderId="0" xfId="0" applyNumberFormat="1" applyFont="1" applyFill="1" applyBorder="1" applyAlignment="1">
      <alignment horizontal="left"/>
    </xf>
    <xf numFmtId="2" fontId="3" fillId="19" borderId="13" xfId="0" applyNumberFormat="1" applyFont="1" applyFill="1" applyBorder="1" applyAlignment="1">
      <alignment horizontal="center"/>
    </xf>
    <xf numFmtId="0" fontId="42" fillId="20" borderId="13" xfId="0" applyFont="1" applyFill="1" applyBorder="1" applyAlignment="1">
      <alignment horizontal="center"/>
    </xf>
    <xf numFmtId="2" fontId="10" fillId="21" borderId="13" xfId="0" applyNumberFormat="1" applyFont="1" applyFill="1" applyBorder="1" applyAlignment="1">
      <alignment horizontal="center" vertical="center"/>
    </xf>
    <xf numFmtId="0" fontId="10" fillId="19" borderId="0" xfId="0" applyFont="1" applyFill="1" applyBorder="1" applyAlignment="1">
      <alignment horizontal="left"/>
    </xf>
    <xf numFmtId="1" fontId="10" fillId="19" borderId="0" xfId="0" applyNumberFormat="1" applyFont="1" applyFill="1" applyBorder="1" applyAlignment="1">
      <alignment horizontal="center"/>
    </xf>
    <xf numFmtId="2" fontId="10" fillId="21" borderId="20" xfId="0" applyNumberFormat="1" applyFont="1" applyFill="1" applyBorder="1" applyAlignment="1">
      <alignment horizontal="center" vertical="center"/>
    </xf>
    <xf numFmtId="2" fontId="10" fillId="18" borderId="20" xfId="0" applyNumberFormat="1" applyFont="1" applyFill="1" applyBorder="1" applyAlignment="1">
      <alignment horizontal="center" vertical="center" shrinkToFit="1"/>
    </xf>
    <xf numFmtId="2" fontId="10" fillId="18" borderId="12" xfId="0" applyNumberFormat="1" applyFont="1" applyFill="1" applyBorder="1" applyAlignment="1">
      <alignment horizontal="center" vertical="center" shrinkToFit="1"/>
    </xf>
    <xf numFmtId="2" fontId="34" fillId="19" borderId="0" xfId="0" applyNumberFormat="1" applyFont="1" applyFill="1" applyBorder="1" applyAlignment="1">
      <alignment horizontal="center"/>
    </xf>
    <xf numFmtId="2" fontId="10" fillId="19" borderId="13" xfId="0" applyNumberFormat="1" applyFont="1" applyFill="1" applyBorder="1" applyAlignment="1">
      <alignment horizontal="center" vertical="center" shrinkToFit="1"/>
    </xf>
    <xf numFmtId="0" fontId="42" fillId="20" borderId="20" xfId="0" applyFont="1" applyFill="1" applyBorder="1" applyAlignment="1">
      <alignment horizontal="center"/>
    </xf>
    <xf numFmtId="2" fontId="9" fillId="18" borderId="22" xfId="0" applyNumberFormat="1" applyFont="1" applyFill="1" applyBorder="1" applyAlignment="1">
      <alignment horizontal="center"/>
    </xf>
    <xf numFmtId="0" fontId="42" fillId="20" borderId="23" xfId="0" applyFont="1" applyFill="1" applyBorder="1" applyAlignment="1">
      <alignment horizontal="center"/>
    </xf>
    <xf numFmtId="1" fontId="9" fillId="19" borderId="0" xfId="0" applyNumberFormat="1" applyFont="1" applyFill="1" applyBorder="1" applyAlignment="1">
      <alignment horizontal="center"/>
    </xf>
    <xf numFmtId="1" fontId="9" fillId="19" borderId="0" xfId="0" applyNumberFormat="1" applyFont="1" applyFill="1" applyBorder="1" applyAlignment="1">
      <alignment horizontal="left"/>
    </xf>
    <xf numFmtId="0" fontId="9" fillId="19" borderId="0" xfId="0" applyFont="1" applyFill="1" applyBorder="1" applyAlignment="1">
      <alignment horizontal="left"/>
    </xf>
    <xf numFmtId="10" fontId="34" fillId="19" borderId="0" xfId="0" applyNumberFormat="1" applyFont="1" applyFill="1" applyBorder="1" applyAlignment="1">
      <alignment horizontal="center"/>
    </xf>
    <xf numFmtId="0" fontId="3" fillId="19" borderId="13" xfId="0" applyFont="1" applyFill="1" applyBorder="1" applyAlignment="1">
      <alignment horizontal="center"/>
    </xf>
    <xf numFmtId="0" fontId="35" fillId="19" borderId="0" xfId="0" applyFont="1" applyFill="1" applyBorder="1" applyAlignment="1">
      <alignment horizontal="center"/>
    </xf>
    <xf numFmtId="165" fontId="9" fillId="19" borderId="0" xfId="0" applyNumberFormat="1" applyFont="1" applyFill="1" applyBorder="1" applyAlignment="1">
      <alignment horizontal="center"/>
    </xf>
    <xf numFmtId="165" fontId="9" fillId="19" borderId="0" xfId="0" applyNumberFormat="1" applyFont="1" applyFill="1" applyBorder="1" applyAlignment="1">
      <alignment horizontal="left"/>
    </xf>
    <xf numFmtId="9" fontId="0" fillId="19" borderId="0" xfId="0" applyNumberFormat="1" applyFill="1" applyBorder="1" applyAlignment="1">
      <alignment horizontal="center"/>
    </xf>
    <xf numFmtId="0" fontId="80" fillId="19" borderId="0" xfId="0" applyFont="1" applyFill="1" applyBorder="1" applyAlignment="1">
      <alignment horizontal="center"/>
    </xf>
    <xf numFmtId="0" fontId="80" fillId="19" borderId="0" xfId="0" applyFont="1" applyFill="1" applyAlignment="1">
      <alignment horizontal="center"/>
    </xf>
    <xf numFmtId="2" fontId="42" fillId="20" borderId="13" xfId="0" applyNumberFormat="1" applyFont="1" applyFill="1" applyBorder="1" applyAlignment="1">
      <alignment horizontal="center"/>
    </xf>
    <xf numFmtId="2" fontId="42" fillId="20" borderId="19" xfId="0" applyNumberFormat="1" applyFont="1" applyFill="1" applyBorder="1" applyAlignment="1">
      <alignment horizontal="center"/>
    </xf>
    <xf numFmtId="2" fontId="0" fillId="22" borderId="13" xfId="0" applyNumberFormat="1" applyFill="1" applyBorder="1" applyAlignment="1">
      <alignment horizontal="center"/>
    </xf>
    <xf numFmtId="2" fontId="0" fillId="19" borderId="0" xfId="0" applyNumberFormat="1" applyFill="1" applyAlignment="1">
      <alignment horizontal="center"/>
    </xf>
    <xf numFmtId="0" fontId="34" fillId="19" borderId="13" xfId="0" applyFont="1" applyFill="1" applyBorder="1" applyAlignment="1">
      <alignment horizontal="center"/>
    </xf>
    <xf numFmtId="0" fontId="34" fillId="19" borderId="0" xfId="0" applyFont="1" applyFill="1" applyBorder="1" applyAlignment="1">
      <alignment horizontal="left"/>
    </xf>
    <xf numFmtId="0" fontId="81" fillId="19" borderId="0" xfId="0" applyFont="1" applyFill="1" applyBorder="1" applyAlignment="1">
      <alignment horizontal="center"/>
    </xf>
    <xf numFmtId="2" fontId="82" fillId="19" borderId="0" xfId="0" applyNumberFormat="1" applyFont="1" applyFill="1" applyBorder="1" applyAlignment="1">
      <alignment horizontal="center"/>
    </xf>
    <xf numFmtId="2" fontId="82" fillId="19" borderId="0" xfId="0" applyNumberFormat="1" applyFont="1" applyFill="1" applyBorder="1" applyAlignment="1">
      <alignment horizontal="left"/>
    </xf>
    <xf numFmtId="0" fontId="34" fillId="19" borderId="0" xfId="0" applyFont="1" applyFill="1" applyAlignment="1">
      <alignment horizontal="center"/>
    </xf>
    <xf numFmtId="2" fontId="10" fillId="21" borderId="13" xfId="0" applyNumberFormat="1" applyFont="1" applyFill="1" applyBorder="1" applyAlignment="1">
      <alignment horizontal="center"/>
    </xf>
    <xf numFmtId="1" fontId="9" fillId="18" borderId="22" xfId="0" applyNumberFormat="1" applyFont="1" applyFill="1" applyBorder="1" applyAlignment="1">
      <alignment horizontal="center"/>
    </xf>
    <xf numFmtId="2" fontId="35" fillId="19" borderId="13" xfId="0" applyNumberFormat="1" applyFont="1" applyFill="1" applyBorder="1" applyAlignment="1">
      <alignment horizontal="center"/>
    </xf>
    <xf numFmtId="49" fontId="13" fillId="0" borderId="0" xfId="0" quotePrefix="1" applyNumberFormat="1" applyFont="1" applyAlignment="1" applyProtection="1">
      <alignment horizontal="center"/>
    </xf>
    <xf numFmtId="49" fontId="13" fillId="0" borderId="0" xfId="0" applyNumberFormat="1" applyFont="1" applyProtection="1"/>
    <xf numFmtId="49" fontId="13" fillId="0" borderId="0" xfId="0" applyNumberFormat="1" applyFont="1" applyAlignment="1" applyProtection="1">
      <alignment horizontal="center"/>
    </xf>
    <xf numFmtId="0" fontId="99" fillId="0" borderId="0" xfId="0" applyFont="1"/>
    <xf numFmtId="0" fontId="100" fillId="0" borderId="0" xfId="0" applyFont="1"/>
    <xf numFmtId="0" fontId="101" fillId="0" borderId="0" xfId="0" applyFont="1"/>
    <xf numFmtId="0" fontId="40" fillId="0" borderId="0" xfId="0" applyFont="1"/>
    <xf numFmtId="14" fontId="23" fillId="0" borderId="0" xfId="0" applyNumberFormat="1" applyFont="1" applyFill="1" applyProtection="1"/>
    <xf numFmtId="168" fontId="23" fillId="0" borderId="0" xfId="0" applyNumberFormat="1" applyFont="1" applyFill="1" applyProtection="1">
      <protection locked="0"/>
    </xf>
    <xf numFmtId="0" fontId="10" fillId="0" borderId="0" xfId="0" applyFont="1" applyFill="1" applyBorder="1" applyAlignment="1">
      <alignment vertical="center"/>
    </xf>
    <xf numFmtId="0" fontId="71" fillId="19" borderId="0" xfId="0" applyFont="1" applyFill="1" applyAlignment="1">
      <alignment vertical="center"/>
    </xf>
    <xf numFmtId="0" fontId="102" fillId="19" borderId="0" xfId="0" applyFont="1" applyFill="1" applyAlignment="1">
      <alignment vertical="center"/>
    </xf>
    <xf numFmtId="0" fontId="71" fillId="19" borderId="0" xfId="0" applyFont="1" applyFill="1" applyBorder="1" applyAlignment="1">
      <alignment vertical="center"/>
    </xf>
    <xf numFmtId="0" fontId="120" fillId="0" borderId="0" xfId="54" applyFont="1"/>
    <xf numFmtId="0" fontId="121" fillId="0" borderId="0" xfId="54" applyFont="1" applyAlignment="1">
      <alignment vertical="center"/>
    </xf>
    <xf numFmtId="0" fontId="120" fillId="0" borderId="0" xfId="55" applyFont="1"/>
    <xf numFmtId="0" fontId="121" fillId="0" borderId="0" xfId="55" applyFont="1" applyAlignment="1">
      <alignment vertical="center"/>
    </xf>
    <xf numFmtId="0" fontId="122" fillId="0" borderId="0" xfId="57" applyFont="1"/>
    <xf numFmtId="0" fontId="120" fillId="0" borderId="0" xfId="57" applyFont="1" applyFill="1" applyBorder="1" applyAlignment="1" applyProtection="1"/>
    <xf numFmtId="0" fontId="47" fillId="0" borderId="0" xfId="57" applyFont="1" applyFill="1" applyBorder="1" applyAlignment="1" applyProtection="1">
      <alignment vertical="center"/>
    </xf>
    <xf numFmtId="0" fontId="50" fillId="0" borderId="0" xfId="56" applyFont="1" applyFill="1" applyBorder="1" applyAlignment="1" applyProtection="1">
      <alignment vertical="top"/>
    </xf>
    <xf numFmtId="0" fontId="50" fillId="0" borderId="0" xfId="56" applyFont="1" applyFill="1" applyBorder="1" applyAlignment="1" applyProtection="1">
      <alignment vertical="center"/>
    </xf>
    <xf numFmtId="0" fontId="5" fillId="0" borderId="0" xfId="0" applyFont="1"/>
    <xf numFmtId="0" fontId="5" fillId="0" borderId="0" xfId="0" applyFont="1" applyAlignment="1">
      <alignment horizontal="center"/>
    </xf>
    <xf numFmtId="49" fontId="5" fillId="0" borderId="0" xfId="0" applyNumberFormat="1" applyFont="1" applyAlignment="1">
      <alignment horizontal="center"/>
    </xf>
    <xf numFmtId="0" fontId="127" fillId="0" borderId="0" xfId="0" applyFont="1" applyFill="1" applyBorder="1" applyAlignment="1" applyProtection="1">
      <alignment vertical="center"/>
    </xf>
    <xf numFmtId="0" fontId="25" fillId="0" borderId="0" xfId="0" applyFont="1" applyFill="1" applyBorder="1" applyProtection="1"/>
    <xf numFmtId="0" fontId="4" fillId="0" borderId="0" xfId="0" applyFont="1" applyFill="1" applyBorder="1" applyAlignment="1" applyProtection="1">
      <alignment horizontal="left"/>
    </xf>
    <xf numFmtId="0" fontId="4" fillId="0" borderId="0" xfId="0" applyFont="1" applyFill="1" applyBorder="1" applyProtection="1">
      <protection locked="0"/>
    </xf>
    <xf numFmtId="0" fontId="3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xf numFmtId="0" fontId="4" fillId="0" borderId="0" xfId="0" applyFont="1" applyFill="1" applyBorder="1" applyAlignment="1" applyProtection="1">
      <alignment horizontal="left"/>
      <protection locked="0"/>
    </xf>
    <xf numFmtId="49" fontId="5" fillId="0" borderId="18" xfId="0" applyNumberFormat="1" applyFont="1" applyFill="1" applyBorder="1" applyAlignment="1" applyProtection="1">
      <alignment vertical="center"/>
      <protection locked="0"/>
    </xf>
    <xf numFmtId="0" fontId="4" fillId="0" borderId="0" xfId="0" applyFont="1" applyAlignment="1" applyProtection="1">
      <alignment horizontal="left"/>
    </xf>
    <xf numFmtId="0" fontId="129" fillId="0" borderId="0" xfId="0" applyFont="1" applyAlignment="1" applyProtection="1">
      <alignment horizontal="left"/>
    </xf>
    <xf numFmtId="0" fontId="75" fillId="21" borderId="0" xfId="0" applyFont="1" applyFill="1" applyAlignment="1" applyProtection="1">
      <alignment horizontal="left"/>
    </xf>
    <xf numFmtId="0" fontId="50" fillId="0" borderId="0" xfId="0" applyFont="1"/>
    <xf numFmtId="1" fontId="5" fillId="0" borderId="13" xfId="0" applyNumberFormat="1" applyFont="1" applyFill="1" applyBorder="1" applyAlignment="1" applyProtection="1">
      <alignment vertical="center"/>
      <protection locked="0"/>
    </xf>
    <xf numFmtId="0" fontId="130" fillId="0" borderId="0" xfId="0" applyFont="1" applyAlignment="1">
      <alignment vertical="center"/>
    </xf>
    <xf numFmtId="0" fontId="131" fillId="0" borderId="0" xfId="0" applyFont="1" applyAlignment="1">
      <alignment vertical="center"/>
    </xf>
    <xf numFmtId="0" fontId="130" fillId="0" borderId="0" xfId="0" applyFont="1" applyBorder="1" applyAlignment="1">
      <alignment vertical="center"/>
    </xf>
    <xf numFmtId="49" fontId="12" fillId="0" borderId="0" xfId="0" applyNumberFormat="1" applyFont="1" applyProtection="1"/>
    <xf numFmtId="0" fontId="4" fillId="0" borderId="0" xfId="0" applyFont="1" applyFill="1" applyBorder="1" applyAlignment="1">
      <alignment horizontal="left" vertical="center"/>
    </xf>
    <xf numFmtId="0" fontId="138" fillId="0" borderId="0" xfId="0" applyFont="1" applyFill="1" applyBorder="1" applyProtection="1"/>
    <xf numFmtId="0" fontId="4" fillId="0" borderId="0" xfId="57" applyFont="1" applyFill="1" applyBorder="1" applyProtection="1"/>
    <xf numFmtId="0" fontId="9" fillId="0" borderId="0" xfId="0" applyFont="1" applyFill="1" applyBorder="1" applyAlignment="1">
      <alignment horizontal="left" vertical="center"/>
    </xf>
    <xf numFmtId="0" fontId="4" fillId="0" borderId="0" xfId="0" applyFont="1" applyBorder="1"/>
    <xf numFmtId="49" fontId="4" fillId="0" borderId="0" xfId="0" applyNumberFormat="1" applyFont="1" applyBorder="1"/>
    <xf numFmtId="49" fontId="9" fillId="0" borderId="0" xfId="0" applyNumberFormat="1" applyFont="1" applyBorder="1"/>
    <xf numFmtId="0" fontId="132" fillId="23" borderId="0" xfId="0" applyFont="1" applyFill="1" applyBorder="1"/>
    <xf numFmtId="0" fontId="34" fillId="23" borderId="0" xfId="0" applyFont="1" applyFill="1" applyBorder="1"/>
    <xf numFmtId="0" fontId="133" fillId="23" borderId="0" xfId="0" applyFont="1" applyFill="1" applyBorder="1"/>
    <xf numFmtId="0" fontId="9" fillId="23" borderId="0" xfId="0" applyFont="1" applyFill="1" applyBorder="1"/>
    <xf numFmtId="0" fontId="4" fillId="0" borderId="0" xfId="0" applyFont="1" applyFill="1" applyBorder="1"/>
    <xf numFmtId="0" fontId="4" fillId="23" borderId="0" xfId="0" applyFont="1" applyFill="1" applyBorder="1"/>
    <xf numFmtId="0" fontId="34" fillId="0" borderId="0" xfId="0" applyFont="1" applyBorder="1"/>
    <xf numFmtId="0" fontId="133" fillId="0" borderId="0" xfId="0" applyFont="1" applyBorder="1"/>
    <xf numFmtId="0" fontId="4" fillId="19" borderId="0" xfId="0" applyFont="1" applyFill="1" applyBorder="1"/>
    <xf numFmtId="0" fontId="34" fillId="19" borderId="0" xfId="0" applyFont="1" applyFill="1" applyBorder="1"/>
    <xf numFmtId="0" fontId="133" fillId="19" borderId="0" xfId="0" applyFont="1" applyFill="1" applyBorder="1"/>
    <xf numFmtId="0" fontId="9" fillId="19" borderId="0" xfId="0" applyFont="1" applyFill="1" applyBorder="1"/>
    <xf numFmtId="0" fontId="34" fillId="0" borderId="0" xfId="0" applyFont="1" applyFill="1" applyBorder="1"/>
    <xf numFmtId="0" fontId="132" fillId="22" borderId="0" xfId="0" applyFont="1" applyFill="1" applyBorder="1"/>
    <xf numFmtId="0" fontId="34" fillId="22" borderId="0" xfId="0" applyFont="1" applyFill="1" applyBorder="1"/>
    <xf numFmtId="0" fontId="133" fillId="22" borderId="0" xfId="0" applyFont="1" applyFill="1" applyBorder="1"/>
    <xf numFmtId="0" fontId="9" fillId="22" borderId="0" xfId="0" applyFont="1" applyFill="1" applyBorder="1"/>
    <xf numFmtId="0" fontId="4" fillId="22" borderId="0" xfId="0" applyFont="1" applyFill="1" applyBorder="1"/>
    <xf numFmtId="0" fontId="132" fillId="24" borderId="0" xfId="0" applyFont="1" applyFill="1" applyBorder="1"/>
    <xf numFmtId="0" fontId="35" fillId="24" borderId="0" xfId="0" applyFont="1" applyFill="1" applyBorder="1"/>
    <xf numFmtId="0" fontId="133" fillId="24" borderId="0" xfId="0" applyFont="1" applyFill="1" applyBorder="1"/>
    <xf numFmtId="0" fontId="4" fillId="24" borderId="0" xfId="0" applyFont="1" applyFill="1" applyBorder="1"/>
    <xf numFmtId="0" fontId="34" fillId="24" borderId="0" xfId="0" applyFont="1" applyFill="1" applyBorder="1"/>
    <xf numFmtId="0" fontId="9" fillId="24" borderId="0" xfId="0" applyFont="1" applyFill="1" applyBorder="1"/>
    <xf numFmtId="0" fontId="35" fillId="0" borderId="0" xfId="0" applyFont="1" applyBorder="1"/>
    <xf numFmtId="0" fontId="132" fillId="25" borderId="0" xfId="0" applyFont="1" applyFill="1" applyBorder="1"/>
    <xf numFmtId="0" fontId="34" fillId="25" borderId="0" xfId="0" applyFont="1" applyFill="1" applyBorder="1"/>
    <xf numFmtId="0" fontId="133" fillId="25" borderId="0" xfId="0" applyFont="1" applyFill="1" applyBorder="1"/>
    <xf numFmtId="0" fontId="9" fillId="25" borderId="0" xfId="0" applyFont="1" applyFill="1" applyBorder="1"/>
    <xf numFmtId="0" fontId="4" fillId="25" borderId="0" xfId="0" applyFont="1" applyFill="1" applyBorder="1"/>
    <xf numFmtId="0" fontId="139" fillId="19" borderId="0" xfId="0" applyFont="1" applyFill="1" applyBorder="1"/>
    <xf numFmtId="0" fontId="11" fillId="0" borderId="0" xfId="50" applyFill="1" applyBorder="1" applyAlignment="1" applyProtection="1">
      <alignment vertical="center"/>
    </xf>
    <xf numFmtId="0" fontId="138" fillId="0" borderId="0" xfId="0" applyFont="1" applyFill="1" applyBorder="1" applyAlignment="1" applyProtection="1">
      <alignment horizontal="left"/>
    </xf>
    <xf numFmtId="0" fontId="138" fillId="0" borderId="0" xfId="0" applyFont="1" applyFill="1" applyBorder="1" applyProtection="1">
      <protection locked="0"/>
    </xf>
    <xf numFmtId="0" fontId="140" fillId="0" borderId="0" xfId="0" applyFont="1" applyFill="1" applyBorder="1" applyProtection="1"/>
    <xf numFmtId="0" fontId="140" fillId="0" borderId="0" xfId="0" applyFont="1" applyAlignment="1">
      <alignment vertical="center"/>
    </xf>
    <xf numFmtId="0" fontId="141" fillId="0" borderId="0" xfId="0" applyFont="1" applyAlignment="1">
      <alignment horizontal="left" vertical="center"/>
    </xf>
    <xf numFmtId="0" fontId="5" fillId="0" borderId="13" xfId="0" applyFont="1" applyFill="1" applyBorder="1" applyAlignment="1">
      <alignmen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xf numFmtId="0" fontId="142" fillId="0" borderId="0" xfId="0" applyFont="1" applyFill="1" applyAlignment="1" applyProtection="1">
      <alignment horizontal="center"/>
    </xf>
    <xf numFmtId="1" fontId="23" fillId="0" borderId="0" xfId="0" applyNumberFormat="1" applyFont="1" applyFill="1" applyProtection="1">
      <protection locked="0"/>
    </xf>
    <xf numFmtId="0" fontId="142" fillId="0" borderId="0" xfId="0" applyFont="1" applyFill="1" applyProtection="1"/>
    <xf numFmtId="0" fontId="10" fillId="0" borderId="0" xfId="0" applyFont="1" applyAlignment="1" applyProtection="1">
      <alignment vertical="center"/>
      <protection locked="0"/>
    </xf>
    <xf numFmtId="0" fontId="143" fillId="0" borderId="0" xfId="50" applyFont="1" applyBorder="1" applyAlignment="1" applyProtection="1">
      <alignment vertical="center"/>
      <protection locked="0"/>
    </xf>
    <xf numFmtId="0" fontId="143" fillId="0" borderId="0" xfId="50" applyFont="1" applyAlignment="1" applyProtection="1">
      <alignment vertical="center"/>
      <protection locked="0"/>
    </xf>
    <xf numFmtId="0" fontId="142" fillId="0" borderId="0" xfId="0" applyFont="1" applyFill="1" applyBorder="1" applyProtection="1"/>
    <xf numFmtId="0" fontId="144" fillId="0" borderId="0" xfId="53" applyFont="1"/>
    <xf numFmtId="0" fontId="145" fillId="0" borderId="0" xfId="53" applyFont="1"/>
    <xf numFmtId="0" fontId="144" fillId="0" borderId="0" xfId="53" applyFont="1"/>
    <xf numFmtId="0" fontId="144" fillId="0" borderId="0" xfId="53" applyFont="1" applyAlignment="1"/>
    <xf numFmtId="0" fontId="80" fillId="19" borderId="0" xfId="0" applyFont="1" applyFill="1" applyAlignment="1">
      <alignment vertical="center"/>
    </xf>
    <xf numFmtId="0" fontId="5" fillId="19" borderId="0" xfId="0" applyFont="1" applyFill="1" applyBorder="1" applyAlignment="1" applyProtection="1">
      <alignment horizontal="left" vertical="center"/>
    </xf>
    <xf numFmtId="0" fontId="8" fillId="0" borderId="0" xfId="0" applyFont="1" applyFill="1" applyBorder="1" applyAlignment="1" applyProtection="1">
      <protection locked="0"/>
    </xf>
    <xf numFmtId="0" fontId="5" fillId="0" borderId="13" xfId="0" applyFont="1" applyFill="1" applyBorder="1" applyAlignment="1" applyProtection="1">
      <alignment vertical="center"/>
      <protection locked="0"/>
    </xf>
    <xf numFmtId="0" fontId="5" fillId="0" borderId="0" xfId="0" applyFont="1" applyFill="1" applyBorder="1" applyAlignment="1">
      <alignment horizontal="center" vertical="center"/>
    </xf>
    <xf numFmtId="0" fontId="10" fillId="0" borderId="0" xfId="0" applyFont="1" applyFill="1" applyBorder="1" applyAlignment="1">
      <alignment vertical="center" wrapText="1"/>
    </xf>
    <xf numFmtId="0" fontId="34" fillId="0" borderId="0" xfId="0" applyFont="1" applyBorder="1" applyAlignment="1">
      <alignment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19" borderId="0" xfId="0" applyFont="1" applyFill="1" applyBorder="1" applyAlignment="1" applyProtection="1">
      <alignment horizontal="left" vertical="center"/>
    </xf>
    <xf numFmtId="0" fontId="0" fillId="0" borderId="0" xfId="0" applyFill="1" applyBorder="1" applyAlignment="1" applyProtection="1">
      <alignment horizontal="center" vertical="center" wrapText="1"/>
      <protection locked="0"/>
    </xf>
    <xf numFmtId="0" fontId="6" fillId="0" borderId="0" xfId="0" applyFont="1" applyFill="1" applyBorder="1" applyAlignment="1">
      <alignment horizontal="right" vertical="center"/>
    </xf>
    <xf numFmtId="0" fontId="5" fillId="0" borderId="0" xfId="0" applyFont="1" applyFill="1" applyBorder="1" applyAlignment="1">
      <alignment vertical="center" wrapText="1"/>
    </xf>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0" fontId="5" fillId="0" borderId="16" xfId="0" applyNumberFormat="1" applyFont="1" applyFill="1" applyBorder="1" applyAlignment="1" applyProtection="1">
      <alignment horizontal="right" vertical="center"/>
    </xf>
    <xf numFmtId="0" fontId="5" fillId="0" borderId="10" xfId="0" applyFont="1" applyFill="1" applyBorder="1" applyAlignment="1">
      <alignment horizontal="right" vertical="center"/>
    </xf>
    <xf numFmtId="0" fontId="8" fillId="0" borderId="0" xfId="0" applyFont="1" applyFill="1" applyBorder="1" applyAlignment="1">
      <alignment horizontal="left" vertical="center"/>
    </xf>
    <xf numFmtId="0" fontId="5" fillId="0" borderId="11" xfId="0" applyFont="1" applyFill="1" applyBorder="1" applyAlignment="1">
      <alignment horizontal="right" vertical="center"/>
    </xf>
    <xf numFmtId="0" fontId="12" fillId="0" borderId="12" xfId="0" applyFont="1" applyFill="1" applyBorder="1" applyAlignment="1" applyProtection="1">
      <alignment vertical="center"/>
    </xf>
    <xf numFmtId="0" fontId="5" fillId="0" borderId="0" xfId="0" applyFont="1" applyFill="1" applyBorder="1" applyAlignment="1" applyProtection="1">
      <alignment horizontal="right" vertical="center"/>
    </xf>
    <xf numFmtId="2" fontId="5" fillId="0" borderId="24" xfId="0" applyNumberFormat="1" applyFont="1" applyFill="1" applyBorder="1" applyAlignment="1" applyProtection="1">
      <alignment horizontal="left" vertical="center"/>
    </xf>
    <xf numFmtId="0" fontId="18" fillId="0" borderId="0" xfId="0" applyFont="1" applyFill="1" applyBorder="1" applyAlignment="1">
      <alignment horizontal="center" vertical="center"/>
    </xf>
    <xf numFmtId="0" fontId="6" fillId="0" borderId="10" xfId="0" applyFont="1" applyFill="1" applyBorder="1" applyAlignment="1">
      <alignment vertical="center"/>
    </xf>
    <xf numFmtId="0" fontId="5" fillId="0" borderId="0" xfId="0" applyNumberFormat="1" applyFont="1" applyFill="1" applyBorder="1" applyAlignment="1">
      <alignment vertical="center"/>
    </xf>
    <xf numFmtId="0" fontId="6" fillId="0" borderId="12" xfId="0" applyFont="1" applyFill="1" applyBorder="1" applyAlignment="1">
      <alignment horizontal="center" vertical="center"/>
    </xf>
    <xf numFmtId="0" fontId="5" fillId="0" borderId="14" xfId="0" applyFont="1" applyFill="1" applyBorder="1" applyAlignment="1">
      <alignment vertical="center"/>
    </xf>
    <xf numFmtId="0" fontId="9" fillId="0" borderId="0" xfId="0" applyFont="1" applyFill="1" applyBorder="1" applyAlignment="1">
      <alignment vertical="center"/>
    </xf>
    <xf numFmtId="0" fontId="30" fillId="0" borderId="0" xfId="0" applyFont="1" applyFill="1" applyBorder="1" applyAlignment="1">
      <alignment horizontal="center" vertical="center"/>
    </xf>
    <xf numFmtId="0" fontId="12" fillId="0" borderId="11" xfId="0" applyFont="1" applyFill="1" applyBorder="1" applyAlignment="1">
      <alignment vertical="center"/>
    </xf>
    <xf numFmtId="0" fontId="4" fillId="0" borderId="13"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right" vertical="center"/>
    </xf>
    <xf numFmtId="0" fontId="5" fillId="0" borderId="18" xfId="0" applyFont="1" applyFill="1" applyBorder="1" applyAlignment="1" applyProtection="1">
      <alignment vertical="center"/>
      <protection locked="0"/>
    </xf>
    <xf numFmtId="0" fontId="13" fillId="0" borderId="10" xfId="0" applyFont="1" applyFill="1" applyBorder="1" applyAlignment="1">
      <alignment vertical="center"/>
    </xf>
    <xf numFmtId="2" fontId="5" fillId="0" borderId="0" xfId="0" applyNumberFormat="1" applyFont="1" applyFill="1" applyBorder="1" applyAlignment="1">
      <alignment vertical="center"/>
    </xf>
    <xf numFmtId="0" fontId="6" fillId="0" borderId="11" xfId="0" applyFont="1" applyFill="1" applyBorder="1" applyAlignment="1">
      <alignment horizontal="right" vertical="center"/>
    </xf>
    <xf numFmtId="0" fontId="12" fillId="0" borderId="20" xfId="0" applyNumberFormat="1" applyFont="1" applyFill="1" applyBorder="1" applyAlignment="1" applyProtection="1">
      <alignment vertical="center"/>
    </xf>
    <xf numFmtId="0" fontId="14" fillId="0" borderId="11" xfId="0" applyFont="1" applyFill="1" applyBorder="1" applyAlignment="1">
      <alignment horizontal="right" vertical="center"/>
    </xf>
    <xf numFmtId="2" fontId="14" fillId="0" borderId="10" xfId="0" applyNumberFormat="1" applyFont="1" applyFill="1" applyBorder="1" applyAlignment="1">
      <alignment horizontal="left" vertical="center"/>
    </xf>
    <xf numFmtId="2" fontId="14" fillId="0" borderId="10" xfId="41" applyNumberFormat="1" applyFont="1" applyFill="1" applyBorder="1" applyAlignment="1">
      <alignment horizontal="left" vertical="center"/>
    </xf>
    <xf numFmtId="0" fontId="6" fillId="0" borderId="25" xfId="0" applyFont="1" applyFill="1" applyBorder="1" applyAlignment="1">
      <alignment vertical="center"/>
    </xf>
    <xf numFmtId="0" fontId="0" fillId="0" borderId="10" xfId="0" applyFill="1" applyBorder="1" applyAlignment="1">
      <alignment vertical="center"/>
    </xf>
    <xf numFmtId="0" fontId="12" fillId="0" borderId="13" xfId="0" applyNumberFormat="1" applyFont="1" applyFill="1" applyBorder="1" applyAlignment="1" applyProtection="1">
      <alignment vertical="center"/>
    </xf>
    <xf numFmtId="0" fontId="8" fillId="0" borderId="0" xfId="0" applyFont="1" applyFill="1" applyBorder="1" applyAlignment="1">
      <alignment vertical="center"/>
    </xf>
    <xf numFmtId="0" fontId="0" fillId="0" borderId="13" xfId="0" applyFill="1" applyBorder="1" applyProtection="1">
      <protection locked="0"/>
    </xf>
    <xf numFmtId="0" fontId="27" fillId="0" borderId="0" xfId="0" applyFont="1" applyFill="1" applyBorder="1" applyAlignment="1">
      <alignment horizontal="left" vertical="top"/>
    </xf>
    <xf numFmtId="0" fontId="5" fillId="0" borderId="0"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20" fillId="0" borderId="0" xfId="0" applyNumberFormat="1" applyFont="1" applyFill="1" applyBorder="1" applyAlignment="1" applyProtection="1">
      <alignment horizontal="right" vertical="center"/>
    </xf>
    <xf numFmtId="0" fontId="6" fillId="0" borderId="10" xfId="0" applyFont="1" applyFill="1" applyBorder="1" applyAlignment="1">
      <alignment horizontal="left" vertical="center"/>
    </xf>
    <xf numFmtId="0" fontId="4" fillId="0" borderId="0" xfId="0" applyFont="1" applyFill="1" applyBorder="1" applyAlignment="1" applyProtection="1">
      <alignment vertical="center"/>
    </xf>
    <xf numFmtId="0" fontId="59" fillId="0" borderId="0" xfId="50" applyFont="1" applyFill="1" applyBorder="1" applyAlignment="1" applyProtection="1">
      <alignment horizontal="center" vertical="top" wrapText="1"/>
      <protection locked="0"/>
    </xf>
    <xf numFmtId="0" fontId="17" fillId="0" borderId="0" xfId="0" applyFont="1" applyFill="1" applyBorder="1" applyAlignment="1">
      <alignment horizontal="left" vertical="center"/>
    </xf>
    <xf numFmtId="0" fontId="11" fillId="0" borderId="0" xfId="5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146" fillId="26" borderId="14" xfId="0" applyFont="1" applyFill="1" applyBorder="1" applyAlignment="1">
      <alignment horizontal="center" vertical="center"/>
    </xf>
    <xf numFmtId="0" fontId="9" fillId="0" borderId="13" xfId="0" applyFont="1" applyFill="1" applyBorder="1" applyAlignment="1" applyProtection="1">
      <alignment horizontal="left" vertical="center"/>
      <protection locked="0"/>
    </xf>
    <xf numFmtId="0" fontId="135" fillId="0" borderId="0" xfId="0" applyFont="1" applyFill="1" applyBorder="1" applyAlignment="1">
      <alignment horizontal="center" vertical="center" textRotation="90"/>
    </xf>
    <xf numFmtId="0" fontId="9" fillId="0" borderId="0" xfId="0" applyFont="1" applyFill="1" applyBorder="1" applyAlignment="1">
      <alignment horizontal="center"/>
    </xf>
    <xf numFmtId="0" fontId="9" fillId="0" borderId="0" xfId="0" applyFont="1" applyAlignment="1">
      <alignment horizontal="left"/>
    </xf>
    <xf numFmtId="0" fontId="9" fillId="0" borderId="0" xfId="0" applyFont="1" applyFill="1" applyBorder="1" applyAlignment="1" applyProtection="1">
      <alignment horizontal="left" vertical="center" wrapText="1"/>
      <protection locked="0"/>
    </xf>
    <xf numFmtId="0" fontId="6" fillId="0" borderId="0" xfId="50" applyFont="1" applyFill="1" applyBorder="1" applyAlignment="1" applyProtection="1">
      <alignment horizontal="left" vertical="center" wrapText="1"/>
      <protection locked="0"/>
    </xf>
    <xf numFmtId="0" fontId="4" fillId="0" borderId="0" xfId="0" applyFont="1"/>
    <xf numFmtId="0" fontId="6" fillId="0" borderId="0" xfId="0" applyFont="1" applyFill="1" applyBorder="1" applyAlignment="1" applyProtection="1">
      <alignment horizontal="center" vertical="center" wrapText="1"/>
      <protection locked="0"/>
    </xf>
    <xf numFmtId="0" fontId="77" fillId="0" borderId="0" xfId="0" applyFont="1" applyFill="1" applyBorder="1" applyAlignment="1">
      <alignment vertical="center"/>
    </xf>
    <xf numFmtId="0" fontId="21" fillId="0" borderId="11" xfId="0" applyNumberFormat="1" applyFont="1" applyFill="1" applyBorder="1" applyAlignment="1" applyProtection="1">
      <alignment vertical="center"/>
    </xf>
    <xf numFmtId="0" fontId="5" fillId="0" borderId="10" xfId="0" applyNumberFormat="1" applyFont="1" applyFill="1" applyBorder="1" applyAlignment="1" applyProtection="1">
      <alignment horizontal="left" vertical="center"/>
    </xf>
    <xf numFmtId="0" fontId="5" fillId="0" borderId="10" xfId="0" applyFont="1" applyFill="1" applyBorder="1" applyAlignment="1">
      <alignment horizontal="left" vertical="center"/>
    </xf>
    <xf numFmtId="0" fontId="6" fillId="0" borderId="11" xfId="0" applyFont="1" applyFill="1" applyBorder="1" applyAlignment="1">
      <alignment horizontal="center" vertical="center"/>
    </xf>
    <xf numFmtId="0" fontId="4" fillId="0" borderId="0" xfId="0" applyFont="1" applyFill="1"/>
    <xf numFmtId="0" fontId="140" fillId="0" borderId="0" xfId="0" applyFont="1" applyFill="1" applyBorder="1" applyAlignment="1">
      <alignment vertical="center"/>
    </xf>
    <xf numFmtId="1" fontId="5" fillId="0" borderId="0" xfId="0" applyNumberFormat="1" applyFont="1" applyFill="1" applyBorder="1" applyAlignment="1" applyProtection="1">
      <alignment vertical="center"/>
      <protection locked="0"/>
    </xf>
    <xf numFmtId="2" fontId="5" fillId="0" borderId="0" xfId="0" applyNumberFormat="1" applyFont="1" applyBorder="1" applyAlignment="1">
      <alignment horizontal="center" vertical="center"/>
    </xf>
    <xf numFmtId="0" fontId="10" fillId="0" borderId="13" xfId="0" applyFont="1" applyFill="1" applyBorder="1" applyAlignment="1" applyProtection="1">
      <alignment horizontal="center" vertical="center"/>
      <protection locked="0"/>
    </xf>
    <xf numFmtId="0" fontId="0" fillId="0" borderId="0" xfId="0" applyFill="1" applyBorder="1" applyAlignment="1">
      <alignment vertical="top" wrapText="1"/>
    </xf>
    <xf numFmtId="0" fontId="77"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5" fillId="0" borderId="0" xfId="0" applyNumberFormat="1" applyFont="1" applyFill="1" applyBorder="1" applyAlignment="1">
      <alignment vertical="center" wrapText="1"/>
    </xf>
    <xf numFmtId="0" fontId="4" fillId="0" borderId="0" xfId="0" applyFont="1" applyFill="1" applyBorder="1" applyAlignment="1" applyProtection="1">
      <alignment vertical="center"/>
      <protection locked="0"/>
    </xf>
    <xf numFmtId="0" fontId="4"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Font="1" applyFill="1" applyBorder="1" applyAlignment="1" applyProtection="1">
      <protection locked="0"/>
    </xf>
    <xf numFmtId="0" fontId="138" fillId="0" borderId="0" xfId="0" applyFont="1" applyFill="1"/>
    <xf numFmtId="0" fontId="147" fillId="26"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xf numFmtId="0" fontId="17" fillId="0" borderId="11" xfId="0" applyFont="1" applyFill="1" applyBorder="1" applyAlignment="1">
      <alignment horizontal="center" vertical="center"/>
    </xf>
    <xf numFmtId="0" fontId="6" fillId="0" borderId="11" xfId="0" applyFont="1" applyFill="1" applyBorder="1" applyAlignment="1" applyProtection="1">
      <alignment horizontal="center" vertical="center"/>
    </xf>
    <xf numFmtId="0" fontId="56" fillId="0" borderId="0" xfId="0" applyFont="1" applyFill="1" applyBorder="1" applyAlignment="1">
      <alignment horizontal="center" vertical="center"/>
    </xf>
    <xf numFmtId="0" fontId="9" fillId="0" borderId="0" xfId="0" applyFont="1" applyFill="1" applyBorder="1" applyAlignment="1">
      <alignment horizontal="right" vertical="center"/>
    </xf>
    <xf numFmtId="2" fontId="5" fillId="0" borderId="0" xfId="0" applyNumberFormat="1" applyFont="1" applyFill="1" applyBorder="1" applyAlignment="1" applyProtection="1">
      <alignment horizontal="left" vertical="center"/>
      <protection locked="0"/>
    </xf>
    <xf numFmtId="0" fontId="77" fillId="0" borderId="0" xfId="0" applyFont="1" applyFill="1" applyBorder="1" applyAlignment="1">
      <alignment horizontal="left" vertical="center" wrapText="1"/>
    </xf>
    <xf numFmtId="0" fontId="5" fillId="0" borderId="0" xfId="0" applyFont="1" applyFill="1" applyBorder="1" applyAlignment="1">
      <alignment vertical="top" wrapText="1"/>
    </xf>
    <xf numFmtId="0" fontId="148" fillId="0" borderId="0" xfId="0" applyFont="1" applyFill="1" applyBorder="1" applyAlignment="1">
      <alignment vertical="top" wrapText="1"/>
    </xf>
    <xf numFmtId="0" fontId="4" fillId="0" borderId="11" xfId="0" applyFont="1" applyFill="1" applyBorder="1" applyAlignment="1">
      <alignment vertical="center"/>
    </xf>
    <xf numFmtId="0" fontId="12" fillId="0" borderId="0" xfId="0" applyFont="1" applyFill="1" applyBorder="1" applyAlignment="1" applyProtection="1">
      <alignment vertical="center"/>
    </xf>
    <xf numFmtId="0" fontId="6" fillId="0" borderId="0" xfId="0" applyFont="1" applyAlignment="1">
      <alignment vertical="center"/>
    </xf>
    <xf numFmtId="0" fontId="12" fillId="0" borderId="10" xfId="0" applyNumberFormat="1" applyFont="1" applyFill="1" applyBorder="1" applyAlignment="1" applyProtection="1">
      <alignment vertical="center"/>
    </xf>
    <xf numFmtId="2" fontId="6" fillId="0" borderId="10" xfId="0" applyNumberFormat="1" applyFont="1" applyFill="1" applyBorder="1" applyAlignment="1">
      <alignment horizontal="left" vertical="center"/>
    </xf>
    <xf numFmtId="0" fontId="5" fillId="0" borderId="0" xfId="0" applyFont="1" applyBorder="1" applyAlignment="1">
      <alignment horizontal="left" vertical="center"/>
    </xf>
    <xf numFmtId="0" fontId="5" fillId="27" borderId="11" xfId="0" applyFont="1" applyFill="1" applyBorder="1" applyAlignment="1" applyProtection="1">
      <alignment horizontal="left" vertical="center"/>
    </xf>
    <xf numFmtId="0" fontId="5" fillId="27" borderId="16" xfId="0" applyFont="1" applyFill="1" applyBorder="1" applyAlignment="1" applyProtection="1">
      <alignment horizontal="left" vertical="center"/>
    </xf>
    <xf numFmtId="0" fontId="5" fillId="0" borderId="11" xfId="0" applyFont="1" applyFill="1" applyBorder="1" applyAlignment="1">
      <alignment horizontal="center" vertical="center"/>
    </xf>
    <xf numFmtId="2" fontId="6"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xf>
    <xf numFmtId="0" fontId="38" fillId="0" borderId="0" xfId="0" applyFont="1" applyFill="1" applyBorder="1" applyAlignment="1">
      <alignment horizontal="right" vertical="center"/>
    </xf>
    <xf numFmtId="0" fontId="5" fillId="0" borderId="0" xfId="0" applyFont="1" applyFill="1" applyBorder="1" applyAlignment="1" applyProtection="1">
      <alignment vertical="center" wrapText="1"/>
    </xf>
    <xf numFmtId="0" fontId="0" fillId="0" borderId="0" xfId="0" applyFill="1" applyBorder="1" applyAlignment="1" applyProtection="1">
      <alignment horizontal="left" vertical="center"/>
    </xf>
    <xf numFmtId="0" fontId="50" fillId="0" borderId="0" xfId="0" applyFont="1" applyFill="1" applyBorder="1" applyAlignment="1" applyProtection="1"/>
    <xf numFmtId="0" fontId="6" fillId="0" borderId="11" xfId="0" applyFont="1" applyFill="1" applyBorder="1" applyAlignment="1">
      <alignment vertical="center"/>
    </xf>
    <xf numFmtId="0" fontId="5" fillId="0" borderId="14" xfId="0" applyFont="1" applyFill="1" applyBorder="1" applyAlignment="1" applyProtection="1">
      <alignment vertical="center"/>
      <protection locked="0"/>
    </xf>
    <xf numFmtId="0" fontId="5" fillId="0" borderId="26" xfId="0" applyFont="1" applyFill="1" applyBorder="1" applyAlignment="1">
      <alignment horizontal="right" vertical="center"/>
    </xf>
    <xf numFmtId="0" fontId="5" fillId="27" borderId="0" xfId="0" applyFont="1" applyFill="1" applyBorder="1" applyAlignment="1" applyProtection="1">
      <alignment vertical="center"/>
    </xf>
    <xf numFmtId="0" fontId="5" fillId="27" borderId="10" xfId="0" applyFont="1" applyFill="1" applyBorder="1" applyAlignment="1" applyProtection="1">
      <alignment vertical="center"/>
    </xf>
    <xf numFmtId="0" fontId="6" fillId="0" borderId="0" xfId="0" applyFont="1" applyBorder="1" applyAlignment="1">
      <alignment vertical="center" wrapText="1"/>
    </xf>
    <xf numFmtId="0" fontId="38" fillId="0" borderId="0" xfId="0" applyFont="1" applyBorder="1" applyAlignment="1">
      <alignment vertical="center" wrapText="1"/>
    </xf>
    <xf numFmtId="0" fontId="5" fillId="0" borderId="26" xfId="0" applyFont="1" applyFill="1" applyBorder="1" applyAlignment="1">
      <alignment vertical="center" wrapText="1"/>
    </xf>
    <xf numFmtId="0" fontId="0" fillId="0" borderId="0" xfId="0"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5" fillId="0" borderId="0" xfId="0" applyFont="1" applyFill="1" applyBorder="1" applyAlignment="1" applyProtection="1">
      <alignment horizontal="right" vertical="center"/>
      <protection locked="0"/>
    </xf>
    <xf numFmtId="0" fontId="0" fillId="0" borderId="0" xfId="0" applyFill="1" applyBorder="1" applyAlignment="1" applyProtection="1">
      <alignment horizontal="right" vertical="center"/>
      <protection locked="0"/>
    </xf>
    <xf numFmtId="0" fontId="45" fillId="0" borderId="0" xfId="0" applyFont="1" applyFill="1" applyBorder="1" applyAlignment="1">
      <alignment vertical="center"/>
    </xf>
    <xf numFmtId="0" fontId="136" fillId="0" borderId="0" xfId="0" applyFont="1" applyFill="1" applyBorder="1" applyAlignment="1">
      <alignment vertical="center"/>
    </xf>
    <xf numFmtId="0" fontId="123" fillId="0" borderId="0" xfId="0" applyFont="1" applyBorder="1" applyAlignment="1">
      <alignment vertical="center"/>
    </xf>
    <xf numFmtId="0" fontId="135" fillId="0" borderId="0" xfId="0" applyFont="1" applyFill="1" applyBorder="1" applyAlignment="1">
      <alignment vertical="center" wrapText="1"/>
    </xf>
    <xf numFmtId="0" fontId="0" fillId="0" borderId="0" xfId="0" applyFill="1" applyBorder="1" applyAlignment="1" applyProtection="1">
      <alignment horizontal="left" vertical="center"/>
      <protection locked="0"/>
    </xf>
    <xf numFmtId="49" fontId="0" fillId="0" borderId="24" xfId="0" applyNumberFormat="1" applyFill="1" applyBorder="1" applyAlignment="1" applyProtection="1">
      <alignment vertical="center"/>
    </xf>
    <xf numFmtId="0" fontId="9" fillId="0" borderId="0" xfId="0" applyFont="1" applyFill="1" applyBorder="1" applyAlignment="1" applyProtection="1">
      <alignment horizontal="center" vertical="center" textRotation="90"/>
    </xf>
    <xf numFmtId="0" fontId="149" fillId="0" borderId="0" xfId="0" applyFont="1" applyFill="1" applyBorder="1" applyAlignment="1" applyProtection="1">
      <alignment horizontal="center" vertical="center" textRotation="90"/>
    </xf>
    <xf numFmtId="166" fontId="9" fillId="0" borderId="0" xfId="0" applyNumberFormat="1" applyFont="1" applyFill="1" applyBorder="1" applyAlignment="1" applyProtection="1">
      <alignment horizontal="left" vertical="center"/>
    </xf>
    <xf numFmtId="0" fontId="69" fillId="0" borderId="0" xfId="0" applyFont="1" applyFill="1" applyBorder="1" applyAlignment="1" applyProtection="1">
      <alignment horizontal="left" vertical="center" wrapText="1"/>
    </xf>
    <xf numFmtId="0" fontId="124" fillId="0" borderId="0" xfId="0" applyFont="1" applyFill="1" applyBorder="1" applyAlignment="1" applyProtection="1">
      <alignment vertical="center"/>
    </xf>
    <xf numFmtId="0" fontId="125" fillId="0" borderId="0" xfId="0" applyFont="1" applyFill="1" applyBorder="1" applyAlignment="1">
      <alignment vertical="center"/>
    </xf>
    <xf numFmtId="166" fontId="125" fillId="0" borderId="0" xfId="0" applyNumberFormat="1" applyFont="1" applyFill="1" applyBorder="1" applyAlignment="1" applyProtection="1">
      <alignment horizontal="left" vertical="center" wrapText="1"/>
    </xf>
    <xf numFmtId="0" fontId="126" fillId="0" borderId="0" xfId="0" applyFont="1" applyFill="1" applyBorder="1" applyAlignment="1" applyProtection="1">
      <alignment vertical="center"/>
    </xf>
    <xf numFmtId="2" fontId="126" fillId="0" borderId="0" xfId="0" applyNumberFormat="1" applyFont="1" applyFill="1" applyBorder="1" applyAlignment="1" applyProtection="1">
      <alignment horizontal="center" vertical="center"/>
    </xf>
    <xf numFmtId="0" fontId="125" fillId="0" borderId="0" xfId="0" applyFont="1" applyFill="1" applyBorder="1" applyAlignment="1" applyProtection="1">
      <alignment vertical="center"/>
    </xf>
    <xf numFmtId="2" fontId="124" fillId="0" borderId="0" xfId="0" applyNumberFormat="1" applyFont="1" applyFill="1" applyBorder="1" applyAlignment="1" applyProtection="1">
      <alignment vertical="center"/>
    </xf>
    <xf numFmtId="0" fontId="128" fillId="0" borderId="0" xfId="0" applyFont="1" applyFill="1" applyBorder="1" applyAlignment="1" applyProtection="1">
      <alignment vertical="center"/>
    </xf>
    <xf numFmtId="0" fontId="9" fillId="0" borderId="10" xfId="0" applyFont="1" applyFill="1" applyBorder="1" applyAlignment="1">
      <alignment horizontal="left" vertical="center"/>
    </xf>
    <xf numFmtId="0" fontId="4" fillId="0" borderId="0" xfId="0" applyFont="1" applyAlignment="1">
      <alignment vertical="center"/>
    </xf>
    <xf numFmtId="0" fontId="9" fillId="0" borderId="0" xfId="0" applyFont="1" applyFill="1" applyBorder="1" applyAlignment="1" applyProtection="1">
      <alignment horizontal="left" vertical="center"/>
      <protection locked="0"/>
    </xf>
    <xf numFmtId="0" fontId="4" fillId="0" borderId="0" xfId="0" applyFont="1" applyProtection="1"/>
    <xf numFmtId="0" fontId="0" fillId="0" borderId="0" xfId="0" applyFont="1" applyProtection="1"/>
    <xf numFmtId="0" fontId="135" fillId="0" borderId="0" xfId="0" applyFont="1" applyFill="1" applyBorder="1" applyAlignment="1">
      <alignment horizontal="center" vertical="center"/>
    </xf>
    <xf numFmtId="2" fontId="5" fillId="28" borderId="13" xfId="0" applyNumberFormat="1" applyFont="1" applyFill="1" applyBorder="1" applyAlignment="1" applyProtection="1">
      <alignment horizontal="left" vertical="center"/>
      <protection locked="0"/>
    </xf>
    <xf numFmtId="2" fontId="5" fillId="28" borderId="24" xfId="0" applyNumberFormat="1" applyFont="1" applyFill="1" applyBorder="1" applyAlignment="1" applyProtection="1">
      <alignment horizontal="left" vertical="center"/>
      <protection locked="0"/>
    </xf>
    <xf numFmtId="1" fontId="5" fillId="28" borderId="13" xfId="0" applyNumberFormat="1" applyFont="1" applyFill="1" applyBorder="1" applyAlignment="1" applyProtection="1">
      <alignment horizontal="left" vertical="center"/>
      <protection locked="0"/>
    </xf>
    <xf numFmtId="1" fontId="5" fillId="28" borderId="18" xfId="0" applyNumberFormat="1" applyFont="1" applyFill="1" applyBorder="1" applyAlignment="1" applyProtection="1">
      <alignment horizontal="left" vertical="center"/>
      <protection locked="0"/>
    </xf>
    <xf numFmtId="1" fontId="4" fillId="28" borderId="13" xfId="0" applyNumberFormat="1" applyFont="1" applyFill="1" applyBorder="1" applyAlignment="1" applyProtection="1">
      <alignment horizontal="left" vertical="center"/>
      <protection locked="0"/>
    </xf>
    <xf numFmtId="0" fontId="11" fillId="0" borderId="0" xfId="50" applyFill="1" applyAlignment="1" applyProtection="1">
      <protection locked="0"/>
    </xf>
    <xf numFmtId="0" fontId="6" fillId="27" borderId="0" xfId="0" applyFont="1" applyFill="1" applyAlignment="1" applyProtection="1">
      <alignment vertical="center"/>
    </xf>
    <xf numFmtId="0" fontId="5" fillId="27" borderId="11" xfId="0" applyFont="1" applyFill="1" applyBorder="1" applyAlignment="1" applyProtection="1">
      <alignment vertical="center"/>
    </xf>
    <xf numFmtId="0" fontId="5" fillId="27" borderId="16" xfId="0" applyFont="1" applyFill="1" applyBorder="1" applyAlignment="1" applyProtection="1">
      <alignment vertical="center"/>
    </xf>
    <xf numFmtId="0" fontId="5" fillId="27" borderId="26" xfId="0" applyFont="1" applyFill="1" applyBorder="1" applyAlignment="1" applyProtection="1">
      <alignment vertical="center"/>
    </xf>
    <xf numFmtId="0" fontId="6" fillId="28" borderId="0" xfId="0" applyFont="1" applyFill="1" applyBorder="1" applyAlignment="1">
      <alignment vertical="center"/>
    </xf>
    <xf numFmtId="0" fontId="6" fillId="28" borderId="0" xfId="0" applyFont="1" applyFill="1" applyBorder="1" applyAlignment="1" applyProtection="1">
      <alignment horizontal="left" vertical="center"/>
    </xf>
    <xf numFmtId="0" fontId="35" fillId="0" borderId="0" xfId="0" applyFont="1" applyAlignment="1" applyProtection="1">
      <alignment horizontal="left"/>
    </xf>
    <xf numFmtId="0" fontId="138" fillId="0" borderId="0" xfId="0" applyFont="1"/>
    <xf numFmtId="0" fontId="35" fillId="0" borderId="0" xfId="0" applyFont="1"/>
    <xf numFmtId="0" fontId="140" fillId="0" borderId="0" xfId="0" applyFont="1" applyAlignment="1">
      <alignment vertical="center"/>
    </xf>
    <xf numFmtId="0" fontId="56" fillId="0" borderId="0" xfId="0" applyFont="1" applyFill="1" applyBorder="1" applyAlignment="1">
      <alignment vertical="center"/>
    </xf>
    <xf numFmtId="0" fontId="55" fillId="19" borderId="0" xfId="0" applyFont="1" applyFill="1" applyBorder="1" applyAlignment="1">
      <alignment vertical="center"/>
    </xf>
    <xf numFmtId="0" fontId="55" fillId="0" borderId="0" xfId="0" applyFont="1" applyBorder="1" applyAlignment="1">
      <alignment vertical="center"/>
    </xf>
    <xf numFmtId="0" fontId="55" fillId="0" borderId="0" xfId="0" applyNumberFormat="1" applyFont="1" applyFill="1" applyBorder="1" applyAlignment="1">
      <alignment vertical="center"/>
    </xf>
    <xf numFmtId="0" fontId="55" fillId="0" borderId="0" xfId="0" applyFont="1" applyFill="1" applyBorder="1" applyAlignment="1" applyProtection="1">
      <alignment horizontal="center" vertical="center"/>
      <protection locked="0"/>
    </xf>
    <xf numFmtId="0" fontId="55" fillId="0" borderId="0" xfId="0" applyFont="1" applyFill="1" applyBorder="1" applyAlignment="1" applyProtection="1">
      <alignment vertical="center"/>
    </xf>
    <xf numFmtId="0" fontId="55" fillId="19" borderId="0" xfId="0" applyFont="1" applyFill="1" applyBorder="1" applyAlignment="1" applyProtection="1">
      <alignment vertical="center"/>
      <protection locked="0"/>
    </xf>
    <xf numFmtId="0" fontId="55" fillId="19" borderId="0" xfId="0" applyFont="1" applyFill="1" applyBorder="1" applyAlignment="1" applyProtection="1">
      <alignment vertical="center"/>
    </xf>
    <xf numFmtId="0" fontId="55" fillId="0" borderId="0"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vertical="center"/>
    </xf>
    <xf numFmtId="0" fontId="55" fillId="0" borderId="0" xfId="0" applyFont="1" applyFill="1" applyBorder="1" applyAlignment="1" applyProtection="1">
      <alignment vertical="center"/>
      <protection locked="0"/>
    </xf>
    <xf numFmtId="0" fontId="57" fillId="0" borderId="0" xfId="0" applyFont="1" applyFill="1" applyBorder="1" applyAlignment="1">
      <alignment vertical="center"/>
    </xf>
    <xf numFmtId="0" fontId="57" fillId="19" borderId="0" xfId="0" applyFont="1" applyFill="1" applyBorder="1" applyAlignment="1" applyProtection="1">
      <alignment vertical="center"/>
    </xf>
    <xf numFmtId="0" fontId="56" fillId="0" borderId="0" xfId="0" applyFont="1" applyFill="1" applyBorder="1" applyAlignment="1" applyProtection="1">
      <alignment vertical="center"/>
      <protection locked="0"/>
    </xf>
    <xf numFmtId="166" fontId="17" fillId="0" borderId="0" xfId="0" applyNumberFormat="1" applyFont="1" applyBorder="1" applyAlignment="1" applyProtection="1">
      <alignment horizontal="left" vertical="center" wrapText="1"/>
    </xf>
    <xf numFmtId="0" fontId="55" fillId="0" borderId="0" xfId="0" applyFont="1" applyBorder="1" applyAlignment="1" applyProtection="1">
      <alignment vertical="center"/>
      <protection locked="0"/>
    </xf>
    <xf numFmtId="0" fontId="56" fillId="19" borderId="0" xfId="0" applyFont="1" applyFill="1" applyBorder="1" applyAlignment="1" applyProtection="1">
      <alignment vertical="center"/>
      <protection locked="0"/>
    </xf>
    <xf numFmtId="0" fontId="55" fillId="0" borderId="0" xfId="0" applyFont="1" applyBorder="1" applyAlignment="1" applyProtection="1">
      <alignment vertical="center"/>
    </xf>
    <xf numFmtId="0" fontId="56" fillId="0" borderId="0" xfId="0" applyFont="1" applyFill="1" applyBorder="1" applyAlignment="1" applyProtection="1">
      <alignment vertical="center"/>
    </xf>
    <xf numFmtId="0" fontId="55" fillId="0" borderId="0" xfId="0" applyFont="1" applyFill="1" applyBorder="1" applyAlignment="1">
      <alignment horizontal="left" vertical="center"/>
    </xf>
    <xf numFmtId="0" fontId="55" fillId="0" borderId="0" xfId="0" applyFont="1" applyBorder="1" applyAlignment="1">
      <alignment horizontal="left" vertical="center"/>
    </xf>
    <xf numFmtId="0" fontId="56" fillId="0" borderId="0" xfId="0" applyFont="1" applyBorder="1" applyAlignment="1">
      <alignment horizontal="center" vertical="center"/>
    </xf>
    <xf numFmtId="0" fontId="10" fillId="0" borderId="0" xfId="0" applyFont="1" applyFill="1" applyBorder="1" applyAlignment="1" applyProtection="1">
      <alignment horizontal="center" vertical="center"/>
      <protection locked="0"/>
    </xf>
    <xf numFmtId="0" fontId="5" fillId="0" borderId="0" xfId="0" applyFont="1" applyAlignment="1">
      <alignment horizontal="right" vertical="center"/>
    </xf>
    <xf numFmtId="0" fontId="5" fillId="27" borderId="0" xfId="0" applyFont="1" applyFill="1" applyBorder="1" applyAlignment="1">
      <alignment vertical="center"/>
    </xf>
    <xf numFmtId="0" fontId="5" fillId="27" borderId="10" xfId="0" applyFont="1" applyFill="1" applyBorder="1" applyAlignment="1">
      <alignment vertical="center"/>
    </xf>
    <xf numFmtId="0" fontId="5" fillId="27" borderId="26" xfId="0" applyFont="1" applyFill="1" applyBorder="1" applyAlignment="1">
      <alignment vertical="center"/>
    </xf>
    <xf numFmtId="0" fontId="5" fillId="27" borderId="17" xfId="0" applyFont="1" applyFill="1" applyBorder="1" applyAlignment="1">
      <alignment vertical="center"/>
    </xf>
    <xf numFmtId="1" fontId="4" fillId="0" borderId="0" xfId="0" applyNumberFormat="1" applyFont="1" applyFill="1" applyProtection="1"/>
    <xf numFmtId="0" fontId="4" fillId="0" borderId="0" xfId="0" applyFont="1" applyFill="1" applyAlignment="1" applyProtection="1">
      <alignment horizontal="center"/>
    </xf>
    <xf numFmtId="0" fontId="138" fillId="0" borderId="0" xfId="0" applyFont="1" applyFill="1" applyProtection="1"/>
    <xf numFmtId="1" fontId="4" fillId="0" borderId="0" xfId="0" applyNumberFormat="1" applyFont="1" applyFill="1" applyProtection="1">
      <protection locked="0"/>
    </xf>
    <xf numFmtId="0" fontId="140" fillId="0" borderId="0" xfId="0" applyFont="1" applyFill="1" applyBorder="1" applyAlignment="1" applyProtection="1">
      <alignment horizontal="left"/>
    </xf>
    <xf numFmtId="0" fontId="138" fillId="0" borderId="0" xfId="0" applyFont="1" applyFill="1" applyBorder="1" applyAlignment="1">
      <alignment horizontal="left" vertical="center"/>
    </xf>
    <xf numFmtId="0" fontId="29" fillId="29" borderId="0" xfId="0" applyFont="1" applyFill="1" applyBorder="1" applyProtection="1"/>
    <xf numFmtId="0" fontId="150" fillId="0" borderId="0" xfId="0" applyFont="1" applyFill="1" applyBorder="1" applyAlignment="1" applyProtection="1"/>
    <xf numFmtId="0" fontId="23" fillId="0" borderId="13" xfId="53" applyFont="1" applyFill="1" applyBorder="1" applyAlignment="1" applyProtection="1"/>
    <xf numFmtId="0" fontId="151" fillId="0" borderId="13" xfId="53" applyFont="1" applyBorder="1" applyAlignment="1"/>
    <xf numFmtId="0" fontId="152" fillId="0" borderId="13" xfId="53" applyFont="1" applyBorder="1" applyAlignment="1"/>
    <xf numFmtId="0" fontId="152" fillId="0" borderId="13" xfId="53" applyFont="1" applyBorder="1" applyAlignment="1"/>
    <xf numFmtId="0" fontId="138" fillId="0" borderId="0" xfId="0" applyFont="1" applyFill="1" applyBorder="1" applyAlignment="1" applyProtection="1"/>
    <xf numFmtId="0" fontId="12" fillId="0" borderId="10" xfId="0" applyFont="1" applyFill="1" applyBorder="1" applyAlignment="1">
      <alignment vertical="center"/>
    </xf>
    <xf numFmtId="0" fontId="12" fillId="0" borderId="0" xfId="0" applyFont="1" applyFill="1" applyBorder="1" applyAlignment="1" applyProtection="1">
      <alignment horizontal="left" vertical="top"/>
    </xf>
    <xf numFmtId="0" fontId="21" fillId="0" borderId="0" xfId="0" applyFont="1" applyFill="1" applyBorder="1" applyAlignment="1">
      <alignment horizontal="left" vertical="top"/>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71" fillId="0" borderId="0" xfId="0" applyFont="1" applyFill="1" applyBorder="1" applyAlignment="1">
      <alignment vertical="center"/>
    </xf>
    <xf numFmtId="0" fontId="5" fillId="0" borderId="26" xfId="0" applyFont="1" applyFill="1" applyBorder="1" applyAlignment="1">
      <alignment horizontal="left" vertical="center"/>
    </xf>
    <xf numFmtId="2" fontId="6" fillId="0" borderId="10" xfId="0" applyNumberFormat="1" applyFont="1" applyFill="1" applyBorder="1" applyAlignment="1" applyProtection="1">
      <alignment vertical="center"/>
    </xf>
    <xf numFmtId="2" fontId="5" fillId="0" borderId="10" xfId="0" applyNumberFormat="1" applyFont="1" applyFill="1" applyBorder="1" applyAlignment="1" applyProtection="1">
      <alignment horizontal="left" vertical="center"/>
    </xf>
    <xf numFmtId="0" fontId="6" fillId="0" borderId="14" xfId="0" applyFont="1" applyFill="1" applyBorder="1" applyAlignment="1">
      <alignment horizontal="center" vertical="center"/>
    </xf>
    <xf numFmtId="0" fontId="15" fillId="0" borderId="14" xfId="0" applyFont="1" applyFill="1" applyBorder="1" applyAlignment="1">
      <alignment vertical="center"/>
    </xf>
    <xf numFmtId="0" fontId="15" fillId="0" borderId="25" xfId="0" applyFont="1" applyFill="1" applyBorder="1" applyAlignment="1">
      <alignment vertical="center"/>
    </xf>
    <xf numFmtId="2" fontId="5" fillId="0" borderId="12" xfId="0" applyNumberFormat="1" applyFont="1" applyFill="1" applyBorder="1" applyAlignment="1" applyProtection="1">
      <alignment horizontal="left" vertical="center"/>
      <protection locked="0"/>
    </xf>
    <xf numFmtId="0" fontId="14" fillId="0" borderId="15" xfId="0" applyFont="1" applyFill="1" applyBorder="1" applyAlignment="1">
      <alignment horizontal="right" vertical="center"/>
    </xf>
    <xf numFmtId="2" fontId="14" fillId="0" borderId="25" xfId="41" applyNumberFormat="1" applyFont="1" applyFill="1" applyBorder="1" applyAlignment="1">
      <alignment horizontal="left" vertical="center"/>
    </xf>
    <xf numFmtId="2" fontId="5" fillId="0" borderId="20" xfId="0" applyNumberFormat="1" applyFont="1" applyFill="1" applyBorder="1" applyAlignment="1" applyProtection="1">
      <alignment horizontal="left" vertical="center"/>
      <protection locked="0"/>
    </xf>
    <xf numFmtId="0" fontId="5" fillId="0" borderId="20" xfId="0" applyFont="1" applyFill="1" applyBorder="1" applyAlignment="1" applyProtection="1">
      <alignment horizontal="center" vertical="center"/>
      <protection locked="0"/>
    </xf>
    <xf numFmtId="0" fontId="8" fillId="0" borderId="25" xfId="0" applyFont="1" applyFill="1" applyBorder="1" applyAlignment="1">
      <alignment horizontal="lef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6" fillId="0" borderId="17" xfId="0" applyFont="1" applyFill="1" applyBorder="1" applyAlignment="1">
      <alignment horizontal="center" vertical="center"/>
    </xf>
    <xf numFmtId="0" fontId="5" fillId="0" borderId="16" xfId="0" applyFont="1" applyFill="1" applyBorder="1" applyAlignment="1">
      <alignment horizontal="center" vertical="center"/>
    </xf>
    <xf numFmtId="2" fontId="6" fillId="0" borderId="17" xfId="0" applyNumberFormat="1" applyFont="1" applyFill="1" applyBorder="1" applyAlignment="1" applyProtection="1">
      <alignment vertical="center"/>
    </xf>
    <xf numFmtId="0" fontId="35" fillId="34" borderId="20" xfId="0" applyFont="1" applyFill="1" applyBorder="1" applyAlignment="1">
      <alignment horizontal="center" vertical="center"/>
    </xf>
    <xf numFmtId="0" fontId="6" fillId="34" borderId="12" xfId="0" applyFont="1" applyFill="1" applyBorder="1" applyAlignment="1">
      <alignment horizontal="center" vertical="center"/>
    </xf>
    <xf numFmtId="0" fontId="6" fillId="34" borderId="18" xfId="0" applyFont="1" applyFill="1" applyBorder="1" applyAlignment="1">
      <alignment horizontal="center" vertical="center" wrapText="1"/>
    </xf>
    <xf numFmtId="0" fontId="5" fillId="0" borderId="13" xfId="0" applyFont="1" applyBorder="1" applyAlignment="1" applyProtection="1">
      <alignment vertical="center"/>
      <protection locked="0"/>
    </xf>
    <xf numFmtId="0" fontId="5"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0" fontId="9" fillId="0" borderId="0" xfId="0" applyFont="1" applyFill="1" applyBorder="1" applyAlignment="1" applyProtection="1">
      <alignment horizontal="left" vertical="center"/>
    </xf>
    <xf numFmtId="0" fontId="5" fillId="0" borderId="0" xfId="0" applyFont="1" applyBorder="1" applyAlignment="1">
      <alignment horizontal="left" vertical="center" indent="3"/>
    </xf>
    <xf numFmtId="0" fontId="9" fillId="0" borderId="0" xfId="0" applyFont="1" applyFill="1" applyBorder="1" applyAlignment="1">
      <alignment horizontal="left" vertical="center" indent="3"/>
    </xf>
    <xf numFmtId="4" fontId="135" fillId="35" borderId="13" xfId="0" applyNumberFormat="1" applyFont="1" applyFill="1" applyBorder="1" applyAlignment="1" applyProtection="1">
      <alignment horizontal="right" vertical="center"/>
    </xf>
    <xf numFmtId="0" fontId="159" fillId="0" borderId="0" xfId="0" applyFont="1" applyFill="1" applyBorder="1" applyAlignment="1" applyProtection="1">
      <alignment vertical="center"/>
    </xf>
    <xf numFmtId="4" fontId="157" fillId="0" borderId="14" xfId="0" applyNumberFormat="1" applyFont="1" applyFill="1" applyBorder="1" applyAlignment="1" applyProtection="1">
      <alignment horizontal="right" vertical="center"/>
    </xf>
    <xf numFmtId="4" fontId="149" fillId="0" borderId="0" xfId="0" applyNumberFormat="1" applyFont="1" applyFill="1" applyBorder="1" applyAlignment="1" applyProtection="1">
      <alignment horizontal="right" vertical="center"/>
    </xf>
    <xf numFmtId="0" fontId="77" fillId="0" borderId="0" xfId="0" applyFont="1" applyFill="1" applyBorder="1" applyAlignment="1" applyProtection="1">
      <alignment horizontal="center" vertical="center"/>
    </xf>
    <xf numFmtId="14" fontId="5"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center" vertical="center"/>
    </xf>
    <xf numFmtId="1" fontId="5" fillId="19"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148" fillId="0" borderId="0" xfId="0" applyFont="1" applyAlignment="1" applyProtection="1">
      <alignment horizontal="right" vertical="center"/>
    </xf>
    <xf numFmtId="0" fontId="148" fillId="0" borderId="0" xfId="0" applyFont="1" applyFill="1" applyBorder="1" applyAlignment="1" applyProtection="1">
      <alignment horizontal="right" vertical="center"/>
    </xf>
    <xf numFmtId="0" fontId="148" fillId="0" borderId="14" xfId="0" applyFont="1" applyFill="1" applyBorder="1" applyAlignment="1" applyProtection="1">
      <alignment horizontal="right" vertical="center"/>
    </xf>
    <xf numFmtId="0" fontId="11" fillId="0" borderId="0" xfId="50" applyFill="1" applyBorder="1" applyAlignment="1" applyProtection="1">
      <alignment horizontal="left" vertical="center" wrapText="1"/>
    </xf>
    <xf numFmtId="49" fontId="9" fillId="0" borderId="26" xfId="0" applyNumberFormat="1" applyFont="1" applyFill="1" applyBorder="1" applyAlignment="1" applyProtection="1">
      <alignment horizontal="left" vertical="center"/>
    </xf>
    <xf numFmtId="0" fontId="2" fillId="0" borderId="0" xfId="0" applyFont="1" applyAlignment="1" applyProtection="1">
      <alignment vertical="center"/>
    </xf>
    <xf numFmtId="2" fontId="3" fillId="0" borderId="13" xfId="0" applyNumberFormat="1" applyFont="1" applyBorder="1" applyAlignment="1" applyProtection="1">
      <alignment horizontal="center" vertical="center"/>
    </xf>
    <xf numFmtId="0" fontId="2" fillId="0" borderId="0" xfId="0" applyFont="1" applyFill="1" applyBorder="1" applyAlignment="1" applyProtection="1">
      <alignment vertical="center"/>
    </xf>
    <xf numFmtId="0" fontId="6" fillId="19" borderId="15" xfId="0" applyFont="1" applyFill="1" applyBorder="1" applyAlignment="1" applyProtection="1">
      <alignment vertical="center"/>
    </xf>
    <xf numFmtId="2" fontId="5" fillId="19" borderId="11" xfId="0" applyNumberFormat="1" applyFont="1" applyFill="1" applyBorder="1" applyAlignment="1" applyProtection="1">
      <alignment vertical="center"/>
    </xf>
    <xf numFmtId="2" fontId="5" fillId="18" borderId="13" xfId="0" applyNumberFormat="1" applyFont="1" applyFill="1" applyBorder="1" applyAlignment="1" applyProtection="1">
      <alignment vertical="center"/>
    </xf>
    <xf numFmtId="0" fontId="5" fillId="19" borderId="16" xfId="0" applyFont="1" applyFill="1" applyBorder="1" applyAlignment="1" applyProtection="1">
      <alignment vertical="center"/>
    </xf>
    <xf numFmtId="0" fontId="6" fillId="0" borderId="13" xfId="0" applyFont="1" applyBorder="1" applyAlignment="1" applyProtection="1">
      <alignment horizontal="right" vertical="center"/>
    </xf>
    <xf numFmtId="0" fontId="6" fillId="0" borderId="0" xfId="0" applyFont="1" applyAlignment="1" applyProtection="1">
      <alignment vertical="center"/>
    </xf>
    <xf numFmtId="0" fontId="149" fillId="0" borderId="0" xfId="0" applyFont="1" applyFill="1" applyBorder="1" applyAlignment="1" applyProtection="1">
      <alignment horizontal="center" vertical="center" textRotation="90"/>
    </xf>
    <xf numFmtId="0" fontId="5" fillId="0" borderId="0" xfId="0" applyFont="1" applyFill="1" applyBorder="1" applyAlignment="1" applyProtection="1">
      <alignment horizontal="right" vertical="center"/>
    </xf>
    <xf numFmtId="0" fontId="6"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5"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0" fontId="6" fillId="0" borderId="25" xfId="0" applyFont="1"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0" fillId="0" borderId="17" xfId="0" applyFill="1" applyBorder="1" applyAlignment="1" applyProtection="1">
      <alignment horizontal="left" vertical="top" wrapText="1"/>
      <protection locked="0"/>
    </xf>
    <xf numFmtId="49" fontId="21" fillId="0" borderId="19" xfId="0" applyNumberFormat="1" applyFont="1" applyFill="1" applyBorder="1" applyAlignment="1" applyProtection="1">
      <alignment vertical="center"/>
      <protection locked="0"/>
    </xf>
    <xf numFmtId="49" fontId="21" fillId="0" borderId="24" xfId="0" applyNumberFormat="1" applyFont="1" applyFill="1" applyBorder="1" applyAlignment="1" applyProtection="1">
      <alignment vertical="center"/>
      <protection locked="0"/>
    </xf>
    <xf numFmtId="49" fontId="21" fillId="0" borderId="27"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xf>
    <xf numFmtId="169" fontId="0" fillId="0" borderId="19" xfId="0" applyNumberFormat="1" applyFill="1" applyBorder="1" applyAlignment="1" applyProtection="1">
      <alignment horizontal="left" vertical="center"/>
      <protection locked="0"/>
    </xf>
    <xf numFmtId="169" fontId="0" fillId="0" borderId="27" xfId="0" applyNumberFormat="1" applyFill="1" applyBorder="1" applyAlignment="1" applyProtection="1">
      <alignment horizontal="left" vertical="center"/>
      <protection locked="0"/>
    </xf>
    <xf numFmtId="0" fontId="11" fillId="0" borderId="0" xfId="50" applyFill="1" applyBorder="1" applyAlignment="1" applyProtection="1">
      <alignment horizontal="left" vertical="center"/>
    </xf>
    <xf numFmtId="0" fontId="75" fillId="30" borderId="0" xfId="0" applyFont="1" applyFill="1" applyBorder="1" applyAlignment="1">
      <alignment horizontal="left" vertical="center"/>
    </xf>
    <xf numFmtId="0" fontId="75" fillId="30" borderId="0" xfId="0" applyFont="1" applyFill="1" applyAlignment="1">
      <alignment vertical="center"/>
    </xf>
    <xf numFmtId="0" fontId="136" fillId="32" borderId="0" xfId="0" applyFont="1" applyFill="1" applyBorder="1" applyAlignment="1">
      <alignment vertical="center"/>
    </xf>
    <xf numFmtId="0" fontId="5" fillId="0" borderId="34" xfId="0" applyFont="1" applyFill="1" applyBorder="1" applyAlignment="1">
      <alignment vertical="top" wrapText="1"/>
    </xf>
    <xf numFmtId="0" fontId="5" fillId="0" borderId="0" xfId="0" applyFont="1" applyFill="1" applyBorder="1" applyAlignment="1">
      <alignment vertical="top" wrapText="1"/>
    </xf>
    <xf numFmtId="0" fontId="11" fillId="0" borderId="0" xfId="50" applyAlignment="1" applyProtection="1">
      <alignment vertical="center"/>
      <protection locked="0"/>
    </xf>
    <xf numFmtId="0" fontId="149" fillId="0" borderId="0" xfId="0" applyFont="1" applyFill="1" applyBorder="1" applyAlignment="1" applyProtection="1">
      <alignment horizontal="center" vertical="center"/>
    </xf>
    <xf numFmtId="0" fontId="4" fillId="0" borderId="0" xfId="0" applyFont="1" applyFill="1" applyBorder="1" applyAlignment="1">
      <alignment vertical="center"/>
    </xf>
    <xf numFmtId="0" fontId="8" fillId="0" borderId="0" xfId="0" applyFont="1" applyFill="1" applyBorder="1" applyAlignment="1">
      <alignment vertical="center"/>
    </xf>
    <xf numFmtId="49" fontId="148" fillId="0" borderId="0" xfId="0" applyNumberFormat="1" applyFont="1" applyFill="1" applyBorder="1" applyAlignment="1" applyProtection="1">
      <alignment horizontal="left" vertical="center"/>
    </xf>
    <xf numFmtId="0" fontId="135" fillId="0" borderId="0" xfId="0" applyFont="1" applyFill="1" applyBorder="1" applyAlignment="1">
      <alignment horizontal="center" vertical="center" textRotation="90"/>
    </xf>
    <xf numFmtId="0" fontId="11" fillId="0" borderId="0" xfId="50"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10" xfId="0" applyFont="1" applyFill="1" applyBorder="1" applyAlignment="1">
      <alignment vertical="center"/>
    </xf>
    <xf numFmtId="0" fontId="5" fillId="0" borderId="14" xfId="0" applyFont="1" applyFill="1" applyBorder="1" applyAlignment="1">
      <alignment vertical="center"/>
    </xf>
    <xf numFmtId="0" fontId="5" fillId="0" borderId="19" xfId="0" applyFont="1" applyFill="1" applyBorder="1" applyAlignment="1" applyProtection="1">
      <alignment horizontal="left" vertical="center"/>
      <protection locked="0"/>
    </xf>
    <xf numFmtId="0" fontId="5" fillId="0" borderId="24"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13" xfId="0" applyFont="1" applyFill="1" applyBorder="1" applyAlignment="1" applyProtection="1">
      <alignment vertical="center"/>
      <protection locked="0"/>
    </xf>
    <xf numFmtId="0" fontId="9" fillId="27" borderId="15" xfId="0" applyFont="1" applyFill="1" applyBorder="1" applyAlignment="1">
      <alignment vertical="center" wrapText="1"/>
    </xf>
    <xf numFmtId="0" fontId="9" fillId="27" borderId="14" xfId="0" applyFont="1" applyFill="1" applyBorder="1" applyAlignment="1">
      <alignment vertical="center" wrapText="1"/>
    </xf>
    <xf numFmtId="0" fontId="9" fillId="27" borderId="25" xfId="0" applyFont="1" applyFill="1" applyBorder="1" applyAlignment="1">
      <alignment vertical="center" wrapText="1"/>
    </xf>
    <xf numFmtId="0" fontId="9" fillId="27" borderId="11" xfId="0" applyFont="1" applyFill="1" applyBorder="1" applyAlignment="1">
      <alignment vertical="center" wrapText="1"/>
    </xf>
    <xf numFmtId="0" fontId="9" fillId="27" borderId="0" xfId="0" applyFont="1" applyFill="1" applyBorder="1" applyAlignment="1">
      <alignment vertical="center" wrapText="1"/>
    </xf>
    <xf numFmtId="0" fontId="9" fillId="27" borderId="10" xfId="0" applyFont="1" applyFill="1" applyBorder="1" applyAlignment="1">
      <alignment vertical="center" wrapText="1"/>
    </xf>
    <xf numFmtId="0" fontId="0" fillId="0" borderId="19"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49" fontId="4" fillId="0" borderId="13" xfId="0" applyNumberFormat="1" applyFont="1" applyFill="1" applyBorder="1" applyAlignment="1" applyProtection="1">
      <alignment vertical="center"/>
      <protection locked="0"/>
    </xf>
    <xf numFmtId="0" fontId="6" fillId="0" borderId="0" xfId="0" applyFont="1" applyFill="1" applyBorder="1" applyAlignment="1">
      <alignment horizontal="right" vertical="center"/>
    </xf>
    <xf numFmtId="0" fontId="9" fillId="0" borderId="10" xfId="0" applyFont="1" applyFill="1" applyBorder="1" applyAlignment="1">
      <alignment horizontal="right" vertical="center"/>
    </xf>
    <xf numFmtId="0" fontId="6" fillId="0" borderId="0" xfId="0" applyFont="1" applyFill="1" applyBorder="1" applyAlignment="1">
      <alignment vertical="center" wrapText="1"/>
    </xf>
    <xf numFmtId="0" fontId="5" fillId="19" borderId="0" xfId="0" applyFont="1" applyFill="1" applyBorder="1" applyAlignment="1">
      <alignment horizontal="left" vertical="center"/>
    </xf>
    <xf numFmtId="0" fontId="9" fillId="34" borderId="15" xfId="0" applyFont="1" applyFill="1" applyBorder="1" applyAlignment="1">
      <alignment horizontal="center" vertical="center"/>
    </xf>
    <xf numFmtId="0" fontId="9" fillId="34" borderId="25"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42" fillId="0" borderId="0" xfId="0" applyFont="1" applyFill="1" applyAlignment="1">
      <alignment vertical="center"/>
    </xf>
    <xf numFmtId="49" fontId="4" fillId="0" borderId="19" xfId="0" applyNumberFormat="1" applyFont="1" applyFill="1" applyBorder="1" applyAlignment="1" applyProtection="1">
      <alignment horizontal="left" vertical="center"/>
      <protection locked="0"/>
    </xf>
    <xf numFmtId="49" fontId="4" fillId="0" borderId="24" xfId="0" applyNumberFormat="1" applyFont="1" applyFill="1" applyBorder="1" applyAlignment="1" applyProtection="1">
      <alignment horizontal="left" vertical="center"/>
      <protection locked="0"/>
    </xf>
    <xf numFmtId="49" fontId="4" fillId="0" borderId="27" xfId="0" applyNumberFormat="1" applyFont="1" applyFill="1" applyBorder="1" applyAlignment="1" applyProtection="1">
      <alignment horizontal="left" vertical="center"/>
      <protection locked="0"/>
    </xf>
    <xf numFmtId="49" fontId="9" fillId="0" borderId="13" xfId="0" applyNumberFormat="1" applyFont="1" applyFill="1" applyBorder="1" applyAlignment="1" applyProtection="1">
      <alignment vertical="center"/>
      <protection locked="0"/>
    </xf>
    <xf numFmtId="0" fontId="154" fillId="26" borderId="14" xfId="0" applyFont="1" applyFill="1" applyBorder="1" applyAlignment="1" applyProtection="1">
      <alignment horizontal="center" vertical="center" wrapText="1"/>
    </xf>
    <xf numFmtId="0" fontId="154" fillId="26" borderId="14" xfId="0" applyFont="1" applyFill="1" applyBorder="1" applyAlignment="1" applyProtection="1">
      <alignment vertical="center" wrapText="1"/>
    </xf>
    <xf numFmtId="49" fontId="5" fillId="0" borderId="19" xfId="0" applyNumberFormat="1" applyFont="1" applyFill="1" applyBorder="1" applyAlignment="1" applyProtection="1">
      <alignment vertical="center"/>
      <protection locked="0"/>
    </xf>
    <xf numFmtId="49" fontId="5" fillId="0" borderId="27" xfId="0" applyNumberFormat="1" applyFont="1" applyFill="1" applyBorder="1" applyAlignment="1" applyProtection="1">
      <alignment vertical="center"/>
      <protection locked="0"/>
    </xf>
    <xf numFmtId="0" fontId="75" fillId="0" borderId="0" xfId="0" applyFont="1" applyFill="1" applyBorder="1" applyAlignment="1">
      <alignment horizontal="center" vertical="center" wrapText="1"/>
    </xf>
    <xf numFmtId="0" fontId="69" fillId="0" borderId="0" xfId="0" applyFont="1" applyFill="1" applyBorder="1" applyAlignment="1">
      <alignment horizontal="center" vertical="center" wrapText="1"/>
    </xf>
    <xf numFmtId="49" fontId="9" fillId="0" borderId="19" xfId="0" applyNumberFormat="1" applyFont="1" applyFill="1" applyBorder="1" applyAlignment="1" applyProtection="1">
      <alignment horizontal="left" vertical="center"/>
      <protection locked="0"/>
    </xf>
    <xf numFmtId="49" fontId="9" fillId="0" borderId="24" xfId="0" applyNumberFormat="1" applyFont="1" applyFill="1" applyBorder="1" applyAlignment="1" applyProtection="1">
      <alignment horizontal="left" vertical="center"/>
      <protection locked="0"/>
    </xf>
    <xf numFmtId="49" fontId="9" fillId="0" borderId="27" xfId="0" applyNumberFormat="1" applyFont="1" applyFill="1" applyBorder="1" applyAlignment="1" applyProtection="1">
      <alignment horizontal="left" vertical="center"/>
      <protection locked="0"/>
    </xf>
    <xf numFmtId="0" fontId="9" fillId="0" borderId="0" xfId="0" applyFont="1" applyFill="1" applyBorder="1" applyAlignment="1">
      <alignment horizontal="center" vertical="center" wrapText="1"/>
    </xf>
    <xf numFmtId="0" fontId="0" fillId="0" borderId="0" xfId="0" applyFill="1" applyBorder="1" applyAlignment="1">
      <alignment vertical="center" wrapText="1"/>
    </xf>
    <xf numFmtId="0" fontId="6" fillId="0" borderId="19" xfId="50" applyFont="1" applyFill="1" applyBorder="1" applyAlignment="1" applyProtection="1">
      <alignment horizontal="left" vertical="center" wrapText="1"/>
      <protection locked="0"/>
    </xf>
    <xf numFmtId="0" fontId="6" fillId="0" borderId="24" xfId="50" applyFont="1" applyFill="1" applyBorder="1" applyAlignment="1" applyProtection="1">
      <alignment horizontal="left" vertical="center" wrapText="1"/>
      <protection locked="0"/>
    </xf>
    <xf numFmtId="0" fontId="6" fillId="0" borderId="27" xfId="50" applyFont="1" applyFill="1" applyBorder="1" applyAlignment="1" applyProtection="1">
      <alignment horizontal="left" vertical="center" wrapText="1"/>
      <protection locked="0"/>
    </xf>
    <xf numFmtId="0" fontId="61" fillId="0" borderId="0" xfId="0" applyFont="1" applyFill="1" applyBorder="1" applyAlignment="1">
      <alignment vertical="center" wrapText="1"/>
    </xf>
    <xf numFmtId="0" fontId="10" fillId="0" borderId="0" xfId="0" applyFont="1" applyFill="1" applyBorder="1" applyAlignment="1">
      <alignment vertical="center" wrapText="1"/>
    </xf>
    <xf numFmtId="0" fontId="62" fillId="0" borderId="0" xfId="0" applyFont="1" applyFill="1" applyBorder="1" applyAlignment="1">
      <alignment vertical="center" wrapText="1"/>
    </xf>
    <xf numFmtId="0" fontId="5" fillId="0" borderId="15" xfId="0" applyFont="1" applyFill="1" applyBorder="1" applyAlignment="1">
      <alignment vertical="center" wrapText="1"/>
    </xf>
    <xf numFmtId="0" fontId="5" fillId="0" borderId="14" xfId="0" applyFont="1" applyFill="1" applyBorder="1" applyAlignment="1">
      <alignment vertical="center" wrapText="1"/>
    </xf>
    <xf numFmtId="0" fontId="138" fillId="0" borderId="0" xfId="0" applyFont="1" applyFill="1" applyBorder="1" applyAlignment="1" applyProtection="1">
      <alignment horizontal="left" vertical="center" wrapText="1"/>
    </xf>
    <xf numFmtId="0" fontId="136" fillId="32"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49" fontId="0" fillId="0" borderId="19" xfId="0" applyNumberFormat="1" applyFill="1" applyBorder="1" applyAlignment="1" applyProtection="1">
      <alignment vertical="center"/>
      <protection locked="0"/>
    </xf>
    <xf numFmtId="49" fontId="0" fillId="0" borderId="24" xfId="0" applyNumberFormat="1" applyFill="1" applyBorder="1" applyAlignment="1" applyProtection="1">
      <alignment vertical="center"/>
      <protection locked="0"/>
    </xf>
    <xf numFmtId="49" fontId="0" fillId="0" borderId="27" xfId="0" applyNumberFormat="1" applyFill="1" applyBorder="1" applyAlignment="1" applyProtection="1">
      <alignment vertical="center"/>
      <protection locked="0"/>
    </xf>
    <xf numFmtId="0" fontId="6" fillId="0" borderId="0" xfId="0" applyFont="1" applyFill="1" applyBorder="1" applyAlignment="1" applyProtection="1">
      <alignment horizontal="left" vertical="center"/>
    </xf>
    <xf numFmtId="0" fontId="5" fillId="0" borderId="0" xfId="0" applyNumberFormat="1" applyFont="1" applyFill="1" applyBorder="1" applyAlignment="1">
      <alignment vertical="center" wrapText="1"/>
    </xf>
    <xf numFmtId="0" fontId="72" fillId="0" borderId="0" xfId="0" applyFont="1" applyFill="1" applyBorder="1" applyAlignment="1">
      <alignment horizontal="center" vertical="center"/>
    </xf>
    <xf numFmtId="0" fontId="5" fillId="0" borderId="34" xfId="0" applyFont="1" applyBorder="1" applyAlignment="1">
      <alignment vertical="center"/>
    </xf>
    <xf numFmtId="0" fontId="5" fillId="0" borderId="10" xfId="0" applyFont="1" applyBorder="1" applyAlignment="1">
      <alignment vertical="center"/>
    </xf>
    <xf numFmtId="0" fontId="5" fillId="0" borderId="11" xfId="0" applyFont="1" applyFill="1" applyBorder="1" applyAlignment="1">
      <alignment horizontal="left" vertical="center"/>
    </xf>
    <xf numFmtId="0" fontId="5" fillId="0" borderId="15" xfId="0" applyFont="1" applyFill="1" applyBorder="1" applyAlignment="1" applyProtection="1">
      <alignment horizontal="left" vertical="top"/>
      <protection locked="0"/>
    </xf>
    <xf numFmtId="0" fontId="5" fillId="0" borderId="14" xfId="0" applyFont="1" applyFill="1" applyBorder="1" applyAlignment="1" applyProtection="1">
      <alignment horizontal="left" vertical="top"/>
      <protection locked="0"/>
    </xf>
    <xf numFmtId="0" fontId="5" fillId="0" borderId="25" xfId="0" applyFont="1" applyFill="1" applyBorder="1" applyAlignment="1" applyProtection="1">
      <alignment horizontal="left" vertical="top"/>
      <protection locked="0"/>
    </xf>
    <xf numFmtId="0" fontId="5" fillId="0" borderId="16" xfId="0" applyFont="1" applyFill="1" applyBorder="1" applyAlignment="1" applyProtection="1">
      <alignment horizontal="left" vertical="top"/>
      <protection locked="0"/>
    </xf>
    <xf numFmtId="0" fontId="5" fillId="0" borderId="26" xfId="0" applyFont="1" applyFill="1" applyBorder="1" applyAlignment="1" applyProtection="1">
      <alignment horizontal="left" vertical="top"/>
      <protection locked="0"/>
    </xf>
    <xf numFmtId="0" fontId="5" fillId="0" borderId="17" xfId="0" applyFont="1" applyFill="1" applyBorder="1" applyAlignment="1" applyProtection="1">
      <alignment horizontal="left" vertical="top"/>
      <protection locked="0"/>
    </xf>
    <xf numFmtId="0" fontId="5" fillId="0" borderId="19"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5" fillId="0" borderId="27"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27" xfId="0" applyFont="1" applyFill="1" applyBorder="1" applyAlignment="1" applyProtection="1">
      <alignment vertical="center"/>
      <protection locked="0"/>
    </xf>
    <xf numFmtId="0" fontId="5" fillId="27" borderId="11" xfId="0" applyFont="1" applyFill="1" applyBorder="1" applyAlignment="1" applyProtection="1">
      <alignment vertical="center"/>
    </xf>
    <xf numFmtId="0" fontId="5" fillId="27" borderId="0" xfId="0" applyFont="1" applyFill="1" applyBorder="1" applyAlignment="1" applyProtection="1">
      <alignment vertical="center"/>
    </xf>
    <xf numFmtId="0" fontId="9" fillId="27" borderId="15" xfId="0" applyFont="1" applyFill="1" applyBorder="1" applyAlignment="1" applyProtection="1">
      <alignment vertical="center" wrapText="1"/>
    </xf>
    <xf numFmtId="0" fontId="9" fillId="27" borderId="14" xfId="0" applyFont="1" applyFill="1" applyBorder="1" applyAlignment="1" applyProtection="1">
      <alignment vertical="center" wrapText="1"/>
    </xf>
    <xf numFmtId="0" fontId="9" fillId="27" borderId="25" xfId="0" applyFont="1" applyFill="1" applyBorder="1" applyAlignment="1" applyProtection="1">
      <alignment vertical="center" wrapText="1"/>
    </xf>
    <xf numFmtId="0" fontId="9" fillId="27" borderId="11" xfId="0" applyFont="1" applyFill="1" applyBorder="1" applyAlignment="1" applyProtection="1">
      <alignment vertical="center" wrapText="1"/>
    </xf>
    <xf numFmtId="0" fontId="9" fillId="27" borderId="0" xfId="0" applyFont="1" applyFill="1" applyBorder="1" applyAlignment="1" applyProtection="1">
      <alignment vertical="center" wrapText="1"/>
    </xf>
    <xf numFmtId="0" fontId="9" fillId="27" borderId="10" xfId="0" applyFont="1" applyFill="1" applyBorder="1" applyAlignment="1" applyProtection="1">
      <alignment vertical="center" wrapText="1"/>
    </xf>
    <xf numFmtId="0" fontId="5" fillId="0" borderId="34" xfId="0" applyFont="1" applyFill="1" applyBorder="1" applyAlignment="1">
      <alignment vertical="center" wrapText="1"/>
    </xf>
    <xf numFmtId="0" fontId="9" fillId="27"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18" borderId="19" xfId="0" applyFont="1" applyFill="1" applyBorder="1" applyAlignment="1" applyProtection="1">
      <alignment vertical="center"/>
    </xf>
    <xf numFmtId="0" fontId="6" fillId="18" borderId="24" xfId="0" applyFont="1" applyFill="1" applyBorder="1" applyAlignment="1" applyProtection="1">
      <alignment vertical="center"/>
    </xf>
    <xf numFmtId="0" fontId="6" fillId="18" borderId="27" xfId="0" applyFont="1" applyFill="1" applyBorder="1" applyAlignment="1" applyProtection="1">
      <alignment vertical="center"/>
    </xf>
    <xf numFmtId="0" fontId="5" fillId="19" borderId="14" xfId="0" applyFont="1" applyFill="1" applyBorder="1" applyAlignment="1" applyProtection="1">
      <alignment vertical="center"/>
    </xf>
    <xf numFmtId="0" fontId="5" fillId="19" borderId="25" xfId="0" applyFont="1" applyFill="1" applyBorder="1" applyAlignment="1" applyProtection="1">
      <alignment vertical="center"/>
    </xf>
    <xf numFmtId="0" fontId="5" fillId="19" borderId="0" xfId="0" applyFont="1" applyFill="1" applyBorder="1" applyAlignment="1" applyProtection="1">
      <alignment vertical="center"/>
    </xf>
    <xf numFmtId="0" fontId="5" fillId="19" borderId="10" xfId="0" applyFont="1" applyFill="1" applyBorder="1" applyAlignment="1" applyProtection="1">
      <alignment vertical="center"/>
    </xf>
    <xf numFmtId="0" fontId="5" fillId="0" borderId="2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22" fillId="0" borderId="0" xfId="0" applyFont="1" applyFill="1" applyBorder="1" applyAlignment="1" applyProtection="1">
      <alignment vertical="center"/>
    </xf>
    <xf numFmtId="0" fontId="77" fillId="0" borderId="0" xfId="0" applyFont="1" applyFill="1" applyBorder="1" applyAlignment="1" applyProtection="1">
      <alignment horizontal="center" vertical="center"/>
    </xf>
    <xf numFmtId="0" fontId="12" fillId="19" borderId="26" xfId="0" applyFont="1" applyFill="1" applyBorder="1" applyAlignment="1" applyProtection="1">
      <alignment vertical="center"/>
    </xf>
    <xf numFmtId="0" fontId="12" fillId="19" borderId="17" xfId="0" applyFont="1" applyFill="1" applyBorder="1" applyAlignment="1" applyProtection="1">
      <alignment vertical="center"/>
    </xf>
    <xf numFmtId="0" fontId="140" fillId="0" borderId="0" xfId="0" applyFont="1" applyBorder="1" applyAlignment="1">
      <alignment vertical="center"/>
    </xf>
    <xf numFmtId="0" fontId="5" fillId="0" borderId="0" xfId="0" applyFont="1" applyBorder="1" applyAlignment="1">
      <alignment vertical="center"/>
    </xf>
    <xf numFmtId="0" fontId="5" fillId="0" borderId="25" xfId="0" applyFont="1" applyFill="1" applyBorder="1" applyAlignment="1">
      <alignment vertical="center"/>
    </xf>
    <xf numFmtId="0" fontId="12" fillId="0" borderId="0" xfId="0" applyFont="1" applyFill="1" applyBorder="1" applyAlignment="1">
      <alignment horizontal="left" vertical="center" wrapText="1"/>
    </xf>
    <xf numFmtId="0" fontId="30" fillId="0" borderId="0" xfId="0" applyFont="1" applyFill="1" applyBorder="1" applyAlignment="1">
      <alignment horizontal="center" vertical="center" wrapText="1"/>
    </xf>
    <xf numFmtId="0" fontId="5" fillId="27" borderId="0" xfId="0" applyFont="1" applyFill="1" applyBorder="1" applyAlignment="1">
      <alignment vertical="center"/>
    </xf>
    <xf numFmtId="0" fontId="5" fillId="27" borderId="26" xfId="0" applyFont="1" applyFill="1" applyBorder="1" applyAlignment="1">
      <alignment vertical="center"/>
    </xf>
    <xf numFmtId="0" fontId="12" fillId="0" borderId="11"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5" fillId="0" borderId="0" xfId="0" applyFont="1" applyFill="1" applyBorder="1" applyAlignment="1">
      <alignment horizontal="left" vertical="center" wrapText="1" indent="3"/>
    </xf>
    <xf numFmtId="0" fontId="5" fillId="0" borderId="0" xfId="0" applyFont="1" applyFill="1" applyBorder="1" applyAlignment="1">
      <alignment horizontal="left" vertical="center" indent="3"/>
    </xf>
    <xf numFmtId="0" fontId="4" fillId="34" borderId="16" xfId="0" applyFont="1" applyFill="1" applyBorder="1" applyAlignment="1">
      <alignment horizontal="center" vertical="center" wrapText="1"/>
    </xf>
    <xf numFmtId="0" fontId="4" fillId="34" borderId="17" xfId="0" applyFont="1" applyFill="1" applyBorder="1" applyAlignment="1">
      <alignment horizontal="center" vertical="center" wrapText="1"/>
    </xf>
    <xf numFmtId="0" fontId="153" fillId="0" borderId="26" xfId="0" applyFont="1" applyFill="1" applyBorder="1" applyAlignment="1" applyProtection="1">
      <alignment horizontal="left" vertical="center"/>
    </xf>
    <xf numFmtId="0" fontId="59" fillId="0" borderId="0" xfId="50" applyFont="1" applyFill="1" applyBorder="1" applyAlignment="1" applyProtection="1">
      <alignment horizontal="center" vertical="top" wrapText="1"/>
      <protection locked="0"/>
    </xf>
    <xf numFmtId="0" fontId="9" fillId="0" borderId="0" xfId="0" applyFont="1" applyFill="1" applyBorder="1" applyAlignment="1">
      <alignment vertical="center" wrapText="1"/>
    </xf>
    <xf numFmtId="0" fontId="9" fillId="0" borderId="0" xfId="0" applyFont="1" applyFill="1" applyBorder="1" applyAlignment="1" applyProtection="1">
      <alignment vertical="center"/>
    </xf>
    <xf numFmtId="0" fontId="6" fillId="0" borderId="19" xfId="50" applyFont="1" applyFill="1" applyBorder="1" applyAlignment="1" applyProtection="1">
      <alignment vertical="center" wrapText="1"/>
      <protection locked="0"/>
    </xf>
    <xf numFmtId="0" fontId="6" fillId="0" borderId="24" xfId="50" applyFont="1" applyFill="1" applyBorder="1" applyAlignment="1" applyProtection="1">
      <alignment vertical="center" wrapText="1"/>
      <protection locked="0"/>
    </xf>
    <xf numFmtId="0" fontId="6" fillId="0" borderId="27" xfId="50" applyFont="1" applyFill="1" applyBorder="1" applyAlignment="1" applyProtection="1">
      <alignment vertical="center" wrapText="1"/>
      <protection locked="0"/>
    </xf>
    <xf numFmtId="0" fontId="9" fillId="0" borderId="19" xfId="0" applyNumberFormat="1" applyFont="1" applyFill="1" applyBorder="1" applyAlignment="1" applyProtection="1">
      <alignment vertical="center"/>
      <protection locked="0"/>
    </xf>
    <xf numFmtId="0" fontId="9" fillId="0" borderId="24" xfId="0" applyNumberFormat="1" applyFont="1" applyFill="1" applyBorder="1" applyAlignment="1" applyProtection="1">
      <alignment vertical="center"/>
      <protection locked="0"/>
    </xf>
    <xf numFmtId="2" fontId="5" fillId="0" borderId="27" xfId="0" applyNumberFormat="1" applyFont="1" applyFill="1" applyBorder="1" applyAlignment="1" applyProtection="1">
      <alignment horizontal="left" vertical="center"/>
    </xf>
    <xf numFmtId="2" fontId="5" fillId="0" borderId="19" xfId="0" applyNumberFormat="1" applyFont="1" applyFill="1" applyBorder="1" applyAlignment="1" applyProtection="1">
      <alignment horizontal="left" vertical="center"/>
    </xf>
    <xf numFmtId="0" fontId="56"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49" fontId="11" fillId="0" borderId="19" xfId="50" applyNumberFormat="1" applyFont="1" applyFill="1" applyBorder="1" applyAlignment="1" applyProtection="1">
      <alignment vertical="center"/>
      <protection locked="0"/>
    </xf>
    <xf numFmtId="49" fontId="11" fillId="0" borderId="24" xfId="50" applyNumberFormat="1" applyFont="1" applyFill="1" applyBorder="1" applyAlignment="1" applyProtection="1">
      <alignment vertical="center"/>
      <protection locked="0"/>
    </xf>
    <xf numFmtId="49" fontId="11" fillId="0" borderId="27" xfId="50" applyNumberFormat="1" applyFont="1" applyFill="1" applyBorder="1" applyAlignment="1" applyProtection="1">
      <alignment vertical="center"/>
      <protection locked="0"/>
    </xf>
    <xf numFmtId="0" fontId="135" fillId="0" borderId="0" xfId="0" applyFont="1" applyFill="1" applyBorder="1" applyAlignment="1">
      <alignment vertical="center" wrapText="1"/>
    </xf>
    <xf numFmtId="0" fontId="16" fillId="0" borderId="14" xfId="0" applyFont="1" applyBorder="1" applyAlignment="1">
      <alignment horizontal="center" vertical="center"/>
    </xf>
    <xf numFmtId="0" fontId="9" fillId="0" borderId="0" xfId="0" applyFont="1" applyFill="1" applyBorder="1" applyAlignment="1" applyProtection="1">
      <alignment horizontal="center" vertical="center" wrapText="1"/>
    </xf>
    <xf numFmtId="0" fontId="5" fillId="0" borderId="31"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24" xfId="0" applyFill="1" applyBorder="1" applyAlignment="1" applyProtection="1">
      <alignment horizontal="left" vertical="center"/>
      <protection locked="0"/>
    </xf>
    <xf numFmtId="0" fontId="0" fillId="0" borderId="27" xfId="0" applyFill="1" applyBorder="1" applyAlignment="1" applyProtection="1">
      <alignment horizontal="left" vertical="center"/>
      <protection locked="0"/>
    </xf>
    <xf numFmtId="14" fontId="5" fillId="0" borderId="0" xfId="0" applyNumberFormat="1" applyFont="1" applyFill="1" applyBorder="1" applyAlignment="1" applyProtection="1">
      <alignment horizontal="left" vertical="center"/>
    </xf>
    <xf numFmtId="0" fontId="10" fillId="0" borderId="19" xfId="0" applyFont="1" applyFill="1" applyBorder="1" applyAlignment="1" applyProtection="1">
      <alignment vertical="center"/>
      <protection locked="0"/>
    </xf>
    <xf numFmtId="0" fontId="10" fillId="0" borderId="27" xfId="0" applyFont="1" applyFill="1" applyBorder="1" applyAlignment="1" applyProtection="1">
      <alignment vertical="center"/>
      <protection locked="0"/>
    </xf>
    <xf numFmtId="0" fontId="6" fillId="0" borderId="26" xfId="0" applyFont="1" applyFill="1" applyBorder="1" applyAlignment="1">
      <alignment vertical="center" wrapText="1"/>
    </xf>
    <xf numFmtId="0" fontId="136" fillId="27" borderId="0" xfId="0" applyFont="1" applyFill="1" applyBorder="1" applyAlignment="1">
      <alignment horizontal="left" vertical="center"/>
    </xf>
    <xf numFmtId="0" fontId="75" fillId="0" borderId="19" xfId="0" applyFont="1" applyFill="1" applyBorder="1" applyAlignment="1" applyProtection="1">
      <alignment vertical="center"/>
    </xf>
    <xf numFmtId="0" fontId="75" fillId="0" borderId="24" xfId="0" applyFont="1" applyFill="1" applyBorder="1" applyAlignment="1" applyProtection="1">
      <alignment vertical="center"/>
    </xf>
    <xf numFmtId="0" fontId="75" fillId="0" borderId="27" xfId="0" applyFont="1" applyFill="1" applyBorder="1" applyAlignment="1" applyProtection="1">
      <alignment vertical="center"/>
    </xf>
    <xf numFmtId="0" fontId="6" fillId="0" borderId="0" xfId="0" applyFont="1" applyFill="1" applyBorder="1" applyAlignment="1" applyProtection="1">
      <alignment horizontal="right" vertical="center" indent="2"/>
    </xf>
    <xf numFmtId="0" fontId="6" fillId="0" borderId="19" xfId="0" applyFont="1" applyFill="1" applyBorder="1" applyAlignment="1" applyProtection="1">
      <alignment vertical="center"/>
    </xf>
    <xf numFmtId="0" fontId="6" fillId="0" borderId="24" xfId="0" applyFont="1" applyFill="1" applyBorder="1" applyAlignment="1" applyProtection="1">
      <alignment vertical="center"/>
    </xf>
    <xf numFmtId="0" fontId="6" fillId="0" borderId="27"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36" fillId="31" borderId="15" xfId="0" applyFont="1" applyFill="1" applyBorder="1" applyAlignment="1" applyProtection="1">
      <alignment horizontal="center" vertical="center" wrapText="1"/>
    </xf>
    <xf numFmtId="0" fontId="136" fillId="31" borderId="14" xfId="0" applyFont="1" applyFill="1" applyBorder="1" applyAlignment="1" applyProtection="1">
      <alignment horizontal="center" vertical="center" wrapText="1"/>
    </xf>
    <xf numFmtId="0" fontId="136" fillId="31" borderId="25" xfId="0" applyFont="1" applyFill="1" applyBorder="1" applyAlignment="1" applyProtection="1">
      <alignment horizontal="center" vertical="center" wrapText="1"/>
    </xf>
    <xf numFmtId="0" fontId="136" fillId="31" borderId="16" xfId="0" applyFont="1" applyFill="1" applyBorder="1" applyAlignment="1" applyProtection="1">
      <alignment horizontal="center" vertical="center" wrapText="1"/>
    </xf>
    <xf numFmtId="0" fontId="136" fillId="31" borderId="26" xfId="0" applyFont="1" applyFill="1" applyBorder="1" applyAlignment="1" applyProtection="1">
      <alignment horizontal="center" vertical="center" wrapText="1"/>
    </xf>
    <xf numFmtId="0" fontId="136" fillId="31" borderId="17" xfId="0" applyFont="1" applyFill="1" applyBorder="1" applyAlignment="1" applyProtection="1">
      <alignment horizontal="center" vertical="center" wrapText="1"/>
    </xf>
    <xf numFmtId="166" fontId="6" fillId="0" borderId="0" xfId="0" applyNumberFormat="1" applyFont="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xf>
    <xf numFmtId="0" fontId="6" fillId="0" borderId="11" xfId="0" applyFont="1" applyFill="1" applyBorder="1" applyAlignment="1">
      <alignment vertical="center" wrapText="1"/>
    </xf>
    <xf numFmtId="0" fontId="11" fillId="0" borderId="0" xfId="50" applyFill="1" applyBorder="1" applyAlignment="1" applyProtection="1">
      <alignment horizontal="left" vertical="center" indent="2"/>
    </xf>
    <xf numFmtId="0" fontId="6" fillId="0" borderId="14" xfId="0" applyFont="1" applyFill="1" applyBorder="1" applyAlignment="1">
      <alignment vertical="center" wrapText="1"/>
    </xf>
    <xf numFmtId="0" fontId="75" fillId="30" borderId="0" xfId="0" applyFont="1" applyFill="1" applyBorder="1" applyAlignment="1" applyProtection="1">
      <alignment horizontal="left" vertical="center"/>
    </xf>
    <xf numFmtId="0" fontId="0" fillId="0" borderId="0" xfId="0" applyAlignment="1" applyProtection="1">
      <alignment vertical="center"/>
    </xf>
    <xf numFmtId="0" fontId="6" fillId="0" borderId="19"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5" fillId="27" borderId="26" xfId="0" applyFont="1" applyFill="1" applyBorder="1" applyAlignment="1" applyProtection="1">
      <alignment vertical="center"/>
    </xf>
    <xf numFmtId="0" fontId="5" fillId="27" borderId="17" xfId="0" applyFont="1" applyFill="1" applyBorder="1" applyAlignment="1" applyProtection="1">
      <alignment vertical="center"/>
    </xf>
    <xf numFmtId="0" fontId="0" fillId="0" borderId="0" xfId="0" applyFill="1" applyBorder="1" applyAlignment="1">
      <alignment vertical="center"/>
    </xf>
    <xf numFmtId="0" fontId="5" fillId="0" borderId="26" xfId="0" applyFont="1" applyFill="1" applyBorder="1" applyAlignment="1">
      <alignment horizontal="right" vertical="center"/>
    </xf>
    <xf numFmtId="0" fontId="5" fillId="0" borderId="17" xfId="0" applyFont="1" applyFill="1" applyBorder="1" applyAlignment="1">
      <alignment horizontal="right" vertical="center"/>
    </xf>
    <xf numFmtId="0" fontId="0" fillId="0" borderId="0" xfId="0" applyAlignment="1">
      <alignment vertical="center"/>
    </xf>
    <xf numFmtId="0" fontId="153" fillId="0" borderId="0" xfId="0" applyFont="1" applyFill="1" applyBorder="1" applyAlignment="1" applyProtection="1">
      <alignment vertical="center" wrapText="1"/>
    </xf>
    <xf numFmtId="0" fontId="153" fillId="0" borderId="14" xfId="0" applyFont="1" applyFill="1" applyBorder="1" applyAlignment="1" applyProtection="1">
      <alignment vertical="center" wrapText="1"/>
    </xf>
    <xf numFmtId="0" fontId="0" fillId="0" borderId="14" xfId="0" applyFill="1" applyBorder="1" applyAlignment="1" applyProtection="1">
      <alignment vertical="center"/>
      <protection locked="0"/>
    </xf>
    <xf numFmtId="49" fontId="0" fillId="0" borderId="26" xfId="0" applyNumberFormat="1" applyFill="1" applyBorder="1" applyAlignment="1" applyProtection="1">
      <alignment vertical="center"/>
      <protection locked="0"/>
    </xf>
    <xf numFmtId="0" fontId="155" fillId="0" borderId="0" xfId="0" applyFont="1" applyAlignment="1">
      <alignment horizontal="center" vertical="center"/>
    </xf>
    <xf numFmtId="0" fontId="35" fillId="18" borderId="15" xfId="0" applyFont="1" applyFill="1" applyBorder="1" applyAlignment="1">
      <alignment vertical="center" wrapText="1"/>
    </xf>
    <xf numFmtId="0" fontId="35" fillId="18" borderId="14" xfId="0" applyFont="1" applyFill="1" applyBorder="1" applyAlignment="1">
      <alignment vertical="center" wrapText="1"/>
    </xf>
    <xf numFmtId="0" fontId="35" fillId="18" borderId="25" xfId="0" applyFont="1" applyFill="1" applyBorder="1" applyAlignment="1">
      <alignment vertical="center" wrapText="1"/>
    </xf>
    <xf numFmtId="0" fontId="35" fillId="18" borderId="11" xfId="0" applyFont="1" applyFill="1" applyBorder="1" applyAlignment="1">
      <alignment vertical="center" wrapText="1"/>
    </xf>
    <xf numFmtId="0" fontId="35" fillId="18" borderId="0" xfId="0" applyFont="1" applyFill="1" applyBorder="1" applyAlignment="1">
      <alignment vertical="center" wrapText="1"/>
    </xf>
    <xf numFmtId="0" fontId="35" fillId="18" borderId="10" xfId="0" applyFont="1" applyFill="1" applyBorder="1" applyAlignment="1">
      <alignment vertical="center" wrapText="1"/>
    </xf>
    <xf numFmtId="0" fontId="35" fillId="18" borderId="16" xfId="0" applyFont="1" applyFill="1" applyBorder="1" applyAlignment="1">
      <alignment vertical="center" wrapText="1"/>
    </xf>
    <xf numFmtId="0" fontId="35" fillId="18" borderId="26" xfId="0" applyFont="1" applyFill="1" applyBorder="1" applyAlignment="1">
      <alignment vertical="center" wrapText="1"/>
    </xf>
    <xf numFmtId="0" fontId="35" fillId="18" borderId="17" xfId="0" applyFont="1" applyFill="1" applyBorder="1" applyAlignment="1">
      <alignment vertical="center" wrapText="1"/>
    </xf>
    <xf numFmtId="0" fontId="9" fillId="22" borderId="19" xfId="0" applyFont="1" applyFill="1" applyBorder="1"/>
    <xf numFmtId="0" fontId="9" fillId="22" borderId="24" xfId="0" applyFont="1" applyFill="1" applyBorder="1"/>
    <xf numFmtId="0" fontId="9" fillId="22" borderId="27" xfId="0" applyFont="1" applyFill="1" applyBorder="1"/>
    <xf numFmtId="0" fontId="10" fillId="22" borderId="13" xfId="0" applyFont="1" applyFill="1" applyBorder="1" applyAlignment="1">
      <alignment wrapText="1"/>
    </xf>
    <xf numFmtId="0" fontId="10" fillId="22" borderId="15" xfId="0" applyFont="1" applyFill="1" applyBorder="1" applyAlignment="1">
      <alignment horizontal="justify" vertical="center" wrapText="1"/>
    </xf>
    <xf numFmtId="0" fontId="10" fillId="22" borderId="14" xfId="0" applyFont="1" applyFill="1" applyBorder="1" applyAlignment="1">
      <alignment vertical="center" wrapText="1"/>
    </xf>
    <xf numFmtId="0" fontId="10" fillId="22" borderId="25" xfId="0" applyFont="1" applyFill="1" applyBorder="1" applyAlignment="1">
      <alignment vertical="center" wrapText="1"/>
    </xf>
    <xf numFmtId="0" fontId="10" fillId="22" borderId="11" xfId="0" applyFont="1" applyFill="1" applyBorder="1" applyAlignment="1">
      <alignment wrapText="1"/>
    </xf>
    <xf numFmtId="0" fontId="10" fillId="22" borderId="0" xfId="0" applyFont="1" applyFill="1" applyBorder="1" applyAlignment="1">
      <alignment wrapText="1"/>
    </xf>
    <xf numFmtId="0" fontId="10" fillId="22" borderId="10" xfId="0" applyFont="1" applyFill="1" applyBorder="1" applyAlignment="1">
      <alignment wrapText="1"/>
    </xf>
    <xf numFmtId="0" fontId="10" fillId="22" borderId="16" xfId="0" applyFont="1" applyFill="1" applyBorder="1" applyAlignment="1">
      <alignment wrapText="1"/>
    </xf>
    <xf numFmtId="0" fontId="10" fillId="22" borderId="26" xfId="0" applyFont="1" applyFill="1" applyBorder="1" applyAlignment="1">
      <alignment wrapText="1"/>
    </xf>
    <xf numFmtId="0" fontId="10"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5" xfId="0" applyFill="1" applyBorder="1" applyAlignment="1">
      <alignment vertical="center" wrapText="1"/>
    </xf>
    <xf numFmtId="0" fontId="0" fillId="18" borderId="11" xfId="0" applyFill="1" applyBorder="1" applyAlignment="1">
      <alignment vertical="center" wrapText="1"/>
    </xf>
    <xf numFmtId="0" fontId="0" fillId="18" borderId="0" xfId="0" applyFill="1" applyBorder="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6" xfId="0" applyFill="1" applyBorder="1" applyAlignment="1">
      <alignment vertical="center" wrapText="1"/>
    </xf>
    <xf numFmtId="0" fontId="0" fillId="18" borderId="17" xfId="0" applyFill="1" applyBorder="1" applyAlignment="1">
      <alignment vertical="center" wrapText="1"/>
    </xf>
    <xf numFmtId="0" fontId="34" fillId="0" borderId="15"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7" xfId="0" applyFont="1" applyBorder="1" applyAlignment="1">
      <alignment horizontal="center" vertical="center" wrapText="1"/>
    </xf>
    <xf numFmtId="0" fontId="9" fillId="0" borderId="0" xfId="0" applyFont="1"/>
    <xf numFmtId="0" fontId="9" fillId="33" borderId="0" xfId="0" applyFont="1" applyFill="1" applyBorder="1" applyAlignment="1">
      <alignment horizontal="center"/>
    </xf>
    <xf numFmtId="49" fontId="5" fillId="0" borderId="0" xfId="0" applyNumberFormat="1" applyFont="1" applyAlignment="1" applyProtection="1">
      <alignment horizontal="center" wrapText="1"/>
    </xf>
    <xf numFmtId="0" fontId="0" fillId="0" borderId="0" xfId="0" applyAlignment="1"/>
    <xf numFmtId="0" fontId="9" fillId="0" borderId="0" xfId="0" applyFont="1" applyAlignment="1" applyProtection="1">
      <alignment horizontal="center"/>
      <protection locked="0"/>
    </xf>
    <xf numFmtId="0" fontId="9" fillId="18" borderId="0" xfId="0" applyFont="1" applyFill="1" applyAlignment="1" applyProtection="1">
      <alignment horizontal="center"/>
      <protection locked="0"/>
    </xf>
    <xf numFmtId="0" fontId="4" fillId="19" borderId="2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8" xfId="0" applyFont="1" applyFill="1" applyBorder="1" applyAlignment="1">
      <alignment horizontal="center" vertical="center" wrapText="1"/>
    </xf>
    <xf numFmtId="0" fontId="0" fillId="0" borderId="12" xfId="0" applyBorder="1"/>
    <xf numFmtId="0" fontId="0" fillId="0" borderId="18" xfId="0" applyBorder="1"/>
    <xf numFmtId="0" fontId="3" fillId="19" borderId="13" xfId="0" applyFont="1" applyFill="1" applyBorder="1" applyAlignment="1">
      <alignment horizontal="center" vertical="center" wrapText="1"/>
    </xf>
    <xf numFmtId="0" fontId="4" fillId="0" borderId="13" xfId="0" applyFont="1" applyBorder="1" applyAlignment="1">
      <alignment horizontal="center" vertical="center" wrapText="1"/>
    </xf>
    <xf numFmtId="2" fontId="3"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0" fillId="0" borderId="13" xfId="0" applyBorder="1" applyAlignment="1">
      <alignment horizontal="center" vertical="center" wrapText="1"/>
    </xf>
    <xf numFmtId="2" fontId="3" fillId="19" borderId="20"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3" fillId="19" borderId="12" xfId="0" applyNumberFormat="1" applyFont="1" applyFill="1" applyBorder="1" applyAlignment="1">
      <alignment horizontal="center" vertical="center" wrapText="1"/>
    </xf>
    <xf numFmtId="2" fontId="3" fillId="19" borderId="18" xfId="0" applyNumberFormat="1" applyFont="1" applyFill="1" applyBorder="1" applyAlignment="1">
      <alignment horizontal="center" vertical="center" wrapText="1"/>
    </xf>
    <xf numFmtId="0" fontId="4" fillId="0" borderId="12" xfId="0" applyFont="1" applyBorder="1" applyAlignment="1">
      <alignment horizontal="center" wrapText="1"/>
    </xf>
    <xf numFmtId="0" fontId="4" fillId="0" borderId="18" xfId="0" applyFont="1" applyBorder="1" applyAlignment="1">
      <alignment horizontal="center" wrapText="1"/>
    </xf>
    <xf numFmtId="0" fontId="34" fillId="19" borderId="0" xfId="0" applyFont="1" applyFill="1" applyBorder="1" applyAlignment="1">
      <alignment horizontal="center" vertical="center" wrapText="1"/>
    </xf>
    <xf numFmtId="0" fontId="0" fillId="19" borderId="0" xfId="0" applyFill="1" applyBorder="1" applyAlignment="1">
      <alignment horizontal="center" vertical="center" wrapText="1"/>
    </xf>
    <xf numFmtId="0" fontId="42" fillId="19" borderId="0" xfId="0" applyFont="1" applyFill="1" applyBorder="1" applyAlignment="1">
      <alignment horizontal="center" vertical="center" wrapText="1"/>
    </xf>
    <xf numFmtId="2" fontId="10" fillId="19" borderId="20" xfId="0" applyNumberFormat="1" applyFont="1" applyFill="1" applyBorder="1" applyAlignment="1">
      <alignment horizontal="center" vertical="center" wrapText="1"/>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19" borderId="18" xfId="0" applyNumberFormat="1" applyFont="1" applyFill="1" applyBorder="1" applyAlignment="1">
      <alignment horizontal="center" vertical="center" wrapText="1"/>
    </xf>
    <xf numFmtId="2" fontId="10" fillId="19" borderId="12" xfId="0" applyNumberFormat="1" applyFont="1" applyFill="1" applyBorder="1" applyAlignment="1">
      <alignment horizontal="center" vertical="center" wrapText="1"/>
    </xf>
    <xf numFmtId="2" fontId="10" fillId="19" borderId="13" xfId="0" applyNumberFormat="1" applyFont="1" applyFill="1" applyBorder="1" applyAlignment="1">
      <alignment horizontal="center" vertical="center" wrapText="1"/>
    </xf>
  </cellXfs>
  <cellStyles count="91">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20% - アクセント 1" xfId="7" xr:uid="{00000000-0005-0000-0000-000006000000}"/>
    <cellStyle name="20% - アクセント 2" xfId="8" xr:uid="{00000000-0005-0000-0000-000007000000}"/>
    <cellStyle name="20% - アクセント 3" xfId="9" xr:uid="{00000000-0005-0000-0000-000008000000}"/>
    <cellStyle name="20% - アクセント 4" xfId="10" xr:uid="{00000000-0005-0000-0000-000009000000}"/>
    <cellStyle name="20% - アクセント 5" xfId="11" xr:uid="{00000000-0005-0000-0000-00000A000000}"/>
    <cellStyle name="20% - アクセント 6" xfId="12" xr:uid="{00000000-0005-0000-0000-00000B000000}"/>
    <cellStyle name="40% - Énfasis1" xfId="13" xr:uid="{00000000-0005-0000-0000-00000C000000}"/>
    <cellStyle name="40% - Énfasis2" xfId="14" xr:uid="{00000000-0005-0000-0000-00000D000000}"/>
    <cellStyle name="40% - Énfasis3" xfId="15" xr:uid="{00000000-0005-0000-0000-00000E000000}"/>
    <cellStyle name="40% - Énfasis4" xfId="16" xr:uid="{00000000-0005-0000-0000-00000F000000}"/>
    <cellStyle name="40% - Énfasis5" xfId="17" xr:uid="{00000000-0005-0000-0000-000010000000}"/>
    <cellStyle name="40% - Énfasis6" xfId="18" xr:uid="{00000000-0005-0000-0000-000011000000}"/>
    <cellStyle name="40% - アクセント 1" xfId="19" xr:uid="{00000000-0005-0000-0000-000012000000}"/>
    <cellStyle name="40% - アクセント 2" xfId="20" xr:uid="{00000000-0005-0000-0000-000013000000}"/>
    <cellStyle name="40% - アクセント 3" xfId="21" xr:uid="{00000000-0005-0000-0000-000014000000}"/>
    <cellStyle name="40% - アクセント 4" xfId="22" xr:uid="{00000000-0005-0000-0000-000015000000}"/>
    <cellStyle name="40% - アクセント 5" xfId="23" xr:uid="{00000000-0005-0000-0000-000016000000}"/>
    <cellStyle name="40% - アクセント 6" xfId="24" xr:uid="{00000000-0005-0000-0000-000017000000}"/>
    <cellStyle name="60% - Énfasis1" xfId="25" xr:uid="{00000000-0005-0000-0000-000018000000}"/>
    <cellStyle name="60% - Énfasis2" xfId="26" xr:uid="{00000000-0005-0000-0000-000019000000}"/>
    <cellStyle name="60% - Énfasis3" xfId="27" xr:uid="{00000000-0005-0000-0000-00001A000000}"/>
    <cellStyle name="60% - Énfasis4" xfId="28" xr:uid="{00000000-0005-0000-0000-00001B000000}"/>
    <cellStyle name="60% - Énfasis5" xfId="29" xr:uid="{00000000-0005-0000-0000-00001C000000}"/>
    <cellStyle name="60% - Énfasis6" xfId="30" xr:uid="{00000000-0005-0000-0000-00001D000000}"/>
    <cellStyle name="60% - アクセント 1" xfId="31" xr:uid="{00000000-0005-0000-0000-00001E000000}"/>
    <cellStyle name="60% - アクセント 2" xfId="32" xr:uid="{00000000-0005-0000-0000-00001F000000}"/>
    <cellStyle name="60% - アクセント 3" xfId="33" xr:uid="{00000000-0005-0000-0000-000020000000}"/>
    <cellStyle name="60% - アクセント 4" xfId="34" xr:uid="{00000000-0005-0000-0000-000021000000}"/>
    <cellStyle name="60% - アクセント 5" xfId="35" xr:uid="{00000000-0005-0000-0000-000022000000}"/>
    <cellStyle name="60% - アクセント 6" xfId="36" xr:uid="{00000000-0005-0000-0000-000023000000}"/>
    <cellStyle name="Buena" xfId="37" xr:uid="{00000000-0005-0000-0000-000024000000}"/>
    <cellStyle name="Cálculo" xfId="38" xr:uid="{00000000-0005-0000-0000-000025000000}"/>
    <cellStyle name="Celda de comprobación" xfId="39" xr:uid="{00000000-0005-0000-0000-000026000000}"/>
    <cellStyle name="Celda vinculada" xfId="40" xr:uid="{00000000-0005-0000-0000-000027000000}"/>
    <cellStyle name="Comma" xfId="41" builtinId="3"/>
    <cellStyle name="Encabezado 4" xfId="42" xr:uid="{00000000-0005-0000-0000-000029000000}"/>
    <cellStyle name="Énfasis1" xfId="43" xr:uid="{00000000-0005-0000-0000-00002A000000}"/>
    <cellStyle name="Énfasis2" xfId="44" xr:uid="{00000000-0005-0000-0000-00002B000000}"/>
    <cellStyle name="Énfasis3" xfId="45" xr:uid="{00000000-0005-0000-0000-00002C000000}"/>
    <cellStyle name="Énfasis4" xfId="46" xr:uid="{00000000-0005-0000-0000-00002D000000}"/>
    <cellStyle name="Énfasis5" xfId="47" xr:uid="{00000000-0005-0000-0000-00002E000000}"/>
    <cellStyle name="Énfasis6" xfId="48" xr:uid="{00000000-0005-0000-0000-00002F000000}"/>
    <cellStyle name="Entrada" xfId="49" xr:uid="{00000000-0005-0000-0000-000030000000}"/>
    <cellStyle name="Hyperlink" xfId="50" builtinId="8"/>
    <cellStyle name="Incorrecto" xfId="51" xr:uid="{00000000-0005-0000-0000-000032000000}"/>
    <cellStyle name="Neutral" xfId="52" builtinId="28" customBuiltin="1"/>
    <cellStyle name="Normal" xfId="0" builtinId="0"/>
    <cellStyle name="Normal 2" xfId="53" xr:uid="{00000000-0005-0000-0000-000035000000}"/>
    <cellStyle name="Normal_Lang Boat" xfId="54" xr:uid="{00000000-0005-0000-0000-000036000000}"/>
    <cellStyle name="Normal_Lang Hull" xfId="55" xr:uid="{00000000-0005-0000-0000-000037000000}"/>
    <cellStyle name="Normal_Lang Pay" xfId="56" xr:uid="{00000000-0005-0000-0000-000038000000}"/>
    <cellStyle name="Normal_Lang Rig" xfId="57" xr:uid="{00000000-0005-0000-0000-000039000000}"/>
    <cellStyle name="Notas" xfId="58" xr:uid="{00000000-0005-0000-0000-00003A000000}"/>
    <cellStyle name="Salida" xfId="59" xr:uid="{00000000-0005-0000-0000-00003B000000}"/>
    <cellStyle name="Texto de advertencia" xfId="60" xr:uid="{00000000-0005-0000-0000-00003C000000}"/>
    <cellStyle name="Texto explicativo" xfId="61" xr:uid="{00000000-0005-0000-0000-00003D000000}"/>
    <cellStyle name="Título" xfId="62" xr:uid="{00000000-0005-0000-0000-00003E000000}"/>
    <cellStyle name="Título 1" xfId="63" xr:uid="{00000000-0005-0000-0000-00003F000000}"/>
    <cellStyle name="Título 2" xfId="64" xr:uid="{00000000-0005-0000-0000-000040000000}"/>
    <cellStyle name="Título 3" xfId="65" xr:uid="{00000000-0005-0000-0000-000041000000}"/>
    <cellStyle name="Título_Lang Boat" xfId="66" xr:uid="{00000000-0005-0000-0000-000042000000}"/>
    <cellStyle name="Total" xfId="67" builtinId="25" customBuiltin="1"/>
    <cellStyle name="アクセント 1" xfId="68" xr:uid="{00000000-0005-0000-0000-000044000000}"/>
    <cellStyle name="アクセント 2" xfId="69" xr:uid="{00000000-0005-0000-0000-000045000000}"/>
    <cellStyle name="アクセント 3" xfId="70" xr:uid="{00000000-0005-0000-0000-000046000000}"/>
    <cellStyle name="アクセント 4" xfId="71" xr:uid="{00000000-0005-0000-0000-000047000000}"/>
    <cellStyle name="アクセント 5" xfId="72" xr:uid="{00000000-0005-0000-0000-000048000000}"/>
    <cellStyle name="アクセント 6" xfId="73" xr:uid="{00000000-0005-0000-0000-000049000000}"/>
    <cellStyle name="タイトル" xfId="74" xr:uid="{00000000-0005-0000-0000-00004A000000}"/>
    <cellStyle name="チェック セル" xfId="75" xr:uid="{00000000-0005-0000-0000-00004B000000}"/>
    <cellStyle name="どちらでもない" xfId="76" xr:uid="{00000000-0005-0000-0000-00004C000000}"/>
    <cellStyle name="メモ" xfId="77" xr:uid="{00000000-0005-0000-0000-00004D000000}"/>
    <cellStyle name="リンク セル" xfId="78" xr:uid="{00000000-0005-0000-0000-00004E000000}"/>
    <cellStyle name="入力" xfId="79" xr:uid="{00000000-0005-0000-0000-00004F000000}"/>
    <cellStyle name="出力" xfId="80" xr:uid="{00000000-0005-0000-0000-000050000000}"/>
    <cellStyle name="悪い" xfId="81" xr:uid="{00000000-0005-0000-0000-000051000000}"/>
    <cellStyle name="良い" xfId="82" xr:uid="{00000000-0005-0000-0000-000052000000}"/>
    <cellStyle name="見出し 1" xfId="83" xr:uid="{00000000-0005-0000-0000-000053000000}"/>
    <cellStyle name="見出し 2" xfId="84" xr:uid="{00000000-0005-0000-0000-000054000000}"/>
    <cellStyle name="見出し 3" xfId="85" xr:uid="{00000000-0005-0000-0000-000055000000}"/>
    <cellStyle name="見出し 4" xfId="86" xr:uid="{00000000-0005-0000-0000-000056000000}"/>
    <cellStyle name="計算" xfId="87" xr:uid="{00000000-0005-0000-0000-000057000000}"/>
    <cellStyle name="説明文" xfId="88" xr:uid="{00000000-0005-0000-0000-000058000000}"/>
    <cellStyle name="警告文" xfId="89" xr:uid="{00000000-0005-0000-0000-000059000000}"/>
    <cellStyle name="集計" xfId="90" xr:uid="{00000000-0005-0000-0000-00005A000000}"/>
  </cellStyles>
  <dxfs count="1">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haredStrings" Target="sharedStrings.xml"/><Relationship Id="rId3" Type="http://schemas.openxmlformats.org/officeDocument/2006/relationships/worksheet" Target="worksheets/sheet2.xml"/><Relationship Id="rId21" Type="http://schemas.openxmlformats.org/officeDocument/2006/relationships/externalLink" Target="externalLinks/externalLink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styles" Target="styles.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theme" Target="theme/theme1.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3.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
          <c:y val="0"/>
          <c:w val="0.99843260188087779"/>
          <c:h val="0.99673558215451574"/>
        </c:manualLayout>
      </c:layout>
      <c:scatterChart>
        <c:scatterStyle val="smoothMarker"/>
        <c:varyColors val="0"/>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extLst>
            <c:ext xmlns:c16="http://schemas.microsoft.com/office/drawing/2014/chart" uri="{C3380CC4-5D6E-409C-BE32-E72D297353CC}">
              <c16:uniqueId val="{00000000-2078-4934-A309-B32D3A4F03E1}"/>
            </c:ext>
          </c:extLst>
        </c:ser>
        <c:ser>
          <c:idx val="2"/>
          <c:order val="1"/>
          <c:tx>
            <c:v>Sheer Line</c:v>
          </c:tx>
          <c:spPr>
            <a:ln w="12700">
              <a:solidFill>
                <a:srgbClr val="FFFF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2-2078-4934-A309-B32D3A4F03E1}"/>
              </c:ext>
            </c:extLst>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extLst>
            <c:ext xmlns:c16="http://schemas.microsoft.com/office/drawing/2014/chart" uri="{C3380CC4-5D6E-409C-BE32-E72D297353CC}">
              <c16:uniqueId val="{00000003-2078-4934-A309-B32D3A4F03E1}"/>
            </c:ext>
          </c:extLst>
        </c:ser>
        <c:ser>
          <c:idx val="3"/>
          <c:order val="2"/>
          <c:tx>
            <c:v>Mast Back</c:v>
          </c:tx>
          <c:spPr>
            <a:ln w="12700">
              <a:solidFill>
                <a:srgbClr val="00FFFF"/>
              </a:solidFill>
              <a:prstDash val="solid"/>
            </a:ln>
          </c:spPr>
          <c:marker>
            <c:symbol val="none"/>
          </c:marker>
          <c:dPt>
            <c:idx val="1"/>
            <c:bubble3D val="0"/>
            <c:spPr>
              <a:ln w="12700">
                <a:solidFill>
                  <a:srgbClr val="C0C0C0"/>
                </a:solidFill>
                <a:prstDash val="solid"/>
              </a:ln>
            </c:spPr>
            <c:extLst>
              <c:ext xmlns:c16="http://schemas.microsoft.com/office/drawing/2014/chart" uri="{C3380CC4-5D6E-409C-BE32-E72D297353CC}">
                <c16:uniqueId val="{00000005-2078-4934-A309-B32D3A4F03E1}"/>
              </c:ext>
            </c:extLst>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extLst>
            <c:ext xmlns:c16="http://schemas.microsoft.com/office/drawing/2014/chart" uri="{C3380CC4-5D6E-409C-BE32-E72D297353CC}">
              <c16:uniqueId val="{00000006-2078-4934-A309-B32D3A4F03E1}"/>
            </c:ext>
          </c:extLst>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extLst>
            <c:ext xmlns:c16="http://schemas.microsoft.com/office/drawing/2014/chart" uri="{C3380CC4-5D6E-409C-BE32-E72D297353CC}">
              <c16:uniqueId val="{00000007-2078-4934-A309-B32D3A4F03E1}"/>
            </c:ext>
          </c:extLst>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08-2078-4934-A309-B32D3A4F03E1}"/>
            </c:ext>
          </c:extLst>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extLst>
            <c:ext xmlns:c16="http://schemas.microsoft.com/office/drawing/2014/chart" uri="{C3380CC4-5D6E-409C-BE32-E72D297353CC}">
              <c16:uniqueId val="{00000009-2078-4934-A309-B32D3A4F03E1}"/>
            </c:ext>
          </c:extLst>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extLst>
            <c:ext xmlns:c16="http://schemas.microsoft.com/office/drawing/2014/chart" uri="{C3380CC4-5D6E-409C-BE32-E72D297353CC}">
              <c16:uniqueId val="{0000000A-2078-4934-A309-B32D3A4F03E1}"/>
            </c:ext>
          </c:extLst>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extLst>
            <c:ext xmlns:c16="http://schemas.microsoft.com/office/drawing/2014/chart" uri="{C3380CC4-5D6E-409C-BE32-E72D297353CC}">
              <c16:uniqueId val="{0000000B-2078-4934-A309-B32D3A4F03E1}"/>
            </c:ext>
          </c:extLst>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extLst>
            <c:ext xmlns:c16="http://schemas.microsoft.com/office/drawing/2014/chart" uri="{C3380CC4-5D6E-409C-BE32-E72D297353CC}">
              <c16:uniqueId val="{0000000C-2078-4934-A309-B32D3A4F03E1}"/>
            </c:ext>
          </c:extLst>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extLst>
            <c:ext xmlns:c16="http://schemas.microsoft.com/office/drawing/2014/chart" uri="{C3380CC4-5D6E-409C-BE32-E72D297353CC}">
              <c16:uniqueId val="{0000000D-2078-4934-A309-B32D3A4F03E1}"/>
            </c:ext>
          </c:extLst>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extLst>
            <c:ext xmlns:c16="http://schemas.microsoft.com/office/drawing/2014/chart" uri="{C3380CC4-5D6E-409C-BE32-E72D297353CC}">
              <c16:uniqueId val="{0000000E-2078-4934-A309-B32D3A4F03E1}"/>
            </c:ext>
          </c:extLst>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extLst>
            <c:ext xmlns:c16="http://schemas.microsoft.com/office/drawing/2014/chart" uri="{C3380CC4-5D6E-409C-BE32-E72D297353CC}">
              <c16:uniqueId val="{0000000F-2078-4934-A309-B32D3A4F03E1}"/>
            </c:ext>
          </c:extLst>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extLst>
            <c:ext xmlns:c16="http://schemas.microsoft.com/office/drawing/2014/chart" uri="{C3380CC4-5D6E-409C-BE32-E72D297353CC}">
              <c16:uniqueId val="{00000010-2078-4934-A309-B32D3A4F03E1}"/>
            </c:ext>
          </c:extLst>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extLst>
            <c:ext xmlns:c16="http://schemas.microsoft.com/office/drawing/2014/chart" uri="{C3380CC4-5D6E-409C-BE32-E72D297353CC}">
              <c16:uniqueId val="{00000011-2078-4934-A309-B32D3A4F03E1}"/>
            </c:ext>
          </c:extLst>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extLst>
            <c:ext xmlns:c16="http://schemas.microsoft.com/office/drawing/2014/chart" uri="{C3380CC4-5D6E-409C-BE32-E72D297353CC}">
              <c16:uniqueId val="{00000012-2078-4934-A309-B32D3A4F03E1}"/>
            </c:ext>
          </c:extLst>
        </c:ser>
        <c:ser>
          <c:idx val="17"/>
          <c:order val="15"/>
          <c:tx>
            <c:v>HHBm</c:v>
          </c:tx>
          <c:spPr>
            <a:ln w="12700">
              <a:solidFill>
                <a:srgbClr val="33CCCC"/>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4-2078-4934-A309-B32D3A4F03E1}"/>
              </c:ext>
            </c:extLst>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extLst>
            <c:ext xmlns:c16="http://schemas.microsoft.com/office/drawing/2014/chart" uri="{C3380CC4-5D6E-409C-BE32-E72D297353CC}">
              <c16:uniqueId val="{00000015-2078-4934-A309-B32D3A4F03E1}"/>
            </c:ext>
          </c:extLst>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6-2078-4934-A309-B32D3A4F03E1}"/>
            </c:ext>
          </c:extLst>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7-2078-4934-A309-B32D3A4F03E1}"/>
            </c:ext>
          </c:extLst>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extLst>
            <c:ext xmlns:c16="http://schemas.microsoft.com/office/drawing/2014/chart" uri="{C3380CC4-5D6E-409C-BE32-E72D297353CC}">
              <c16:uniqueId val="{00000018-2078-4934-A309-B32D3A4F03E1}"/>
            </c:ext>
          </c:extLst>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extLst>
            <c:ext xmlns:c16="http://schemas.microsoft.com/office/drawing/2014/chart" uri="{C3380CC4-5D6E-409C-BE32-E72D297353CC}">
              <c16:uniqueId val="{00000019-2078-4934-A309-B32D3A4F03E1}"/>
            </c:ext>
          </c:extLst>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extLst>
            <c:ext xmlns:c16="http://schemas.microsoft.com/office/drawing/2014/chart" uri="{C3380CC4-5D6E-409C-BE32-E72D297353CC}">
              <c16:uniqueId val="{0000001A-2078-4934-A309-B32D3A4F03E1}"/>
            </c:ext>
          </c:extLst>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extLst>
            <c:ext xmlns:c16="http://schemas.microsoft.com/office/drawing/2014/chart" uri="{C3380CC4-5D6E-409C-BE32-E72D297353CC}">
              <c16:uniqueId val="{0000001B-2078-4934-A309-B32D3A4F03E1}"/>
            </c:ext>
          </c:extLst>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extLst>
            <c:ext xmlns:c16="http://schemas.microsoft.com/office/drawing/2014/chart" uri="{C3380CC4-5D6E-409C-BE32-E72D297353CC}">
              <c16:uniqueId val="{0000001C-2078-4934-A309-B32D3A4F03E1}"/>
            </c:ext>
          </c:extLst>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extLst>
            <c:ext xmlns:c16="http://schemas.microsoft.com/office/drawing/2014/chart" uri="{C3380CC4-5D6E-409C-BE32-E72D297353CC}">
              <c16:uniqueId val="{0000001D-2078-4934-A309-B32D3A4F03E1}"/>
            </c:ext>
          </c:extLst>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extLst>
            <c:ext xmlns:c16="http://schemas.microsoft.com/office/drawing/2014/chart" uri="{C3380CC4-5D6E-409C-BE32-E72D297353CC}">
              <c16:uniqueId val="{0000001E-2078-4934-A309-B32D3A4F03E1}"/>
            </c:ext>
          </c:extLst>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extLst>
            <c:ext xmlns:c16="http://schemas.microsoft.com/office/drawing/2014/chart" uri="{C3380CC4-5D6E-409C-BE32-E72D297353CC}">
              <c16:uniqueId val="{0000001F-2078-4934-A309-B32D3A4F03E1}"/>
            </c:ext>
          </c:extLst>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extLst>
            <c:ext xmlns:c16="http://schemas.microsoft.com/office/drawing/2014/chart" uri="{C3380CC4-5D6E-409C-BE32-E72D297353CC}">
              <c16:uniqueId val="{00000020-2078-4934-A309-B32D3A4F03E1}"/>
            </c:ext>
          </c:extLst>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extLst>
            <c:ext xmlns:c16="http://schemas.microsoft.com/office/drawing/2014/chart" uri="{C3380CC4-5D6E-409C-BE32-E72D297353CC}">
              <c16:uniqueId val="{00000021-2078-4934-A309-B32D3A4F03E1}"/>
            </c:ext>
          </c:extLst>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extLst>
            <c:ext xmlns:c16="http://schemas.microsoft.com/office/drawing/2014/chart" uri="{C3380CC4-5D6E-409C-BE32-E72D297353CC}">
              <c16:uniqueId val="{00000022-2078-4934-A309-B32D3A4F03E1}"/>
            </c:ext>
          </c:extLst>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23-2078-4934-A309-B32D3A4F03E1}"/>
            </c:ext>
          </c:extLst>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extLst>
            <c:ext xmlns:c16="http://schemas.microsoft.com/office/drawing/2014/chart" uri="{C3380CC4-5D6E-409C-BE32-E72D297353CC}">
              <c16:uniqueId val="{00000024-2078-4934-A309-B32D3A4F03E1}"/>
            </c:ext>
          </c:extLst>
        </c:ser>
        <c:dLbls>
          <c:showLegendKey val="0"/>
          <c:showVal val="0"/>
          <c:showCatName val="0"/>
          <c:showSerName val="0"/>
          <c:showPercent val="0"/>
          <c:showBubbleSize val="0"/>
        </c:dLbls>
        <c:axId val="441126384"/>
        <c:axId val="1"/>
      </c:scatterChart>
      <c:valAx>
        <c:axId val="441126384"/>
        <c:scaling>
          <c:orientation val="minMax"/>
          <c:min val="-1"/>
        </c:scaling>
        <c:delete val="0"/>
        <c:axPos val="b"/>
        <c:title>
          <c:tx>
            <c:rich>
              <a:bodyPr/>
              <a:lstStyle/>
              <a:p>
                <a:pPr>
                  <a:defRPr sz="1000" b="1" i="0" u="none" strike="noStrike" baseline="0">
                    <a:solidFill>
                      <a:srgbClr val="000080"/>
                    </a:solidFill>
                    <a:latin typeface="Arial"/>
                    <a:ea typeface="Arial"/>
                    <a:cs typeface="Arial"/>
                  </a:defRPr>
                </a:pPr>
                <a:r>
                  <a:rPr lang="en-US"/>
                  <a:t>For information purposes only</a:t>
                </a:r>
              </a:p>
            </c:rich>
          </c:tx>
          <c:layout>
            <c:manualLayout>
              <c:xMode val="edge"/>
              <c:yMode val="edge"/>
              <c:x val="0.33855799373040751"/>
              <c:y val="0.955386289445049"/>
            </c:manualLayout>
          </c:layout>
          <c:overlay val="0"/>
          <c:spPr>
            <a:noFill/>
            <a:ln w="25400">
              <a:noFill/>
            </a:ln>
          </c:spPr>
        </c:title>
        <c:numFmt formatCode="0.00" sourceLinked="1"/>
        <c:majorTickMark val="none"/>
        <c:minorTickMark val="none"/>
        <c:tickLblPos val="none"/>
        <c:spPr>
          <a:ln w="9525">
            <a:noFill/>
          </a:ln>
        </c:spPr>
        <c:crossAx val="1"/>
        <c:crosses val="autoZero"/>
        <c:crossBetween val="midCat"/>
        <c:majorUnit val="1"/>
      </c:valAx>
      <c:valAx>
        <c:axId val="1"/>
        <c:scaling>
          <c:orientation val="minMax"/>
        </c:scaling>
        <c:delete val="0"/>
        <c:axPos val="l"/>
        <c:numFmt formatCode="0.00" sourceLinked="1"/>
        <c:majorTickMark val="none"/>
        <c:minorTickMark val="none"/>
        <c:tickLblPos val="none"/>
        <c:spPr>
          <a:ln w="9525">
            <a:noFill/>
          </a:ln>
        </c:spPr>
        <c:crossAx val="441126384"/>
        <c:crosses val="autoZero"/>
        <c:crossBetween val="midCat"/>
        <c:majorUnit val="2"/>
      </c:valAx>
      <c:spPr>
        <a:noFill/>
        <a:ln w="3175">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ctrlProps/ctrlProp1.xml><?xml version="1.0" encoding="utf-8"?>
<formControlPr xmlns="http://schemas.microsoft.com/office/spreadsheetml/2009/9/main" objectType="Drop" dropLines="3" dropStyle="combo" dx="21" fmlaLink="$C$313" fmlaRange="$B$383:$B$385" noThreeD="1" sel="1" val="0"/>
</file>

<file path=xl/ctrlProps/ctrlProp10.xml><?xml version="1.0" encoding="utf-8"?>
<formControlPr xmlns="http://schemas.microsoft.com/office/spreadsheetml/2009/9/main" objectType="CheckBox" fmlaLink="$C$332" lockText="1" noThreeD="1"/>
</file>

<file path=xl/ctrlProps/ctrlProp11.xml><?xml version="1.0" encoding="utf-8"?>
<formControlPr xmlns="http://schemas.microsoft.com/office/spreadsheetml/2009/9/main" objectType="Drop" dropLines="7" dropStyle="combo" dx="21" fmlaLink="$C$305" fmlaRange="$B$313:$B$319" noThreeD="1" sel="1" val="0"/>
</file>

<file path=xl/ctrlProps/ctrlProp12.xml><?xml version="1.0" encoding="utf-8"?>
<formControlPr xmlns="http://schemas.microsoft.com/office/spreadsheetml/2009/9/main" objectType="Drop" dropLines="11" dropStyle="combo" dx="21" fmlaLink="$C$306" fmlaRange="$B$320:$B$330" noThreeD="1" sel="1" val="0"/>
</file>

<file path=xl/ctrlProps/ctrlProp13.xml><?xml version="1.0" encoding="utf-8"?>
<formControlPr xmlns="http://schemas.microsoft.com/office/spreadsheetml/2009/9/main" objectType="Drop" dropLines="10" dropStyle="combo" dx="21" fmlaLink="$C$308" fmlaRange="$B$337:$B$346" noThreeD="1" sel="1" val="0"/>
</file>

<file path=xl/ctrlProps/ctrlProp14.xml><?xml version="1.0" encoding="utf-8"?>
<formControlPr xmlns="http://schemas.microsoft.com/office/spreadsheetml/2009/9/main" objectType="Drop" dropLines="13" dropStyle="combo" dx="21" fmlaLink="$C$309" fmlaRange="$B$347:$B$359" noThreeD="1" sel="1" val="0"/>
</file>

<file path=xl/ctrlProps/ctrlProp15.xml><?xml version="1.0" encoding="utf-8"?>
<formControlPr xmlns="http://schemas.microsoft.com/office/spreadsheetml/2009/9/main" objectType="Drop" dropLines="9" dropStyle="combo" dx="21" fmlaLink="$C$310" fmlaRange="$B$361:$B$367" noThreeD="1" sel="1" val="0"/>
</file>

<file path=xl/ctrlProps/ctrlProp16.xml><?xml version="1.0" encoding="utf-8"?>
<formControlPr xmlns="http://schemas.microsoft.com/office/spreadsheetml/2009/9/main" objectType="Drop" dropLines="15" dropStyle="combo" dx="21" fmlaLink="$C$311" fmlaRange="$B$431:$B$445" noThreeD="1" sel="1" val="0"/>
</file>

<file path=xl/ctrlProps/ctrlProp17.xml><?xml version="1.0" encoding="utf-8"?>
<formControlPr xmlns="http://schemas.microsoft.com/office/spreadsheetml/2009/9/main" objectType="Drop" dropLines="5" dropStyle="combo" dx="21" fmlaLink="$C$312" fmlaRange="$B$448:$B$452" noThreeD="1" sel="1" val="0"/>
</file>

<file path=xl/ctrlProps/ctrlProp18.xml><?xml version="1.0" encoding="utf-8"?>
<formControlPr xmlns="http://schemas.microsoft.com/office/spreadsheetml/2009/9/main" objectType="Drop" dropLines="15" dropStyle="combo" dx="21" fmlaLink="$C$307" fmlaRange="$B$458:$B$472" noThreeD="1" sel="1" val="0"/>
</file>

<file path=xl/ctrlProps/ctrlProp19.xml><?xml version="1.0" encoding="utf-8"?>
<formControlPr xmlns="http://schemas.microsoft.com/office/spreadsheetml/2009/9/main" objectType="Drop" dropLines="4" dropStyle="combo" dx="21" fmlaLink="$C$344" fmlaRange="$B$453:$B$456" noThreeD="1" sel="1" val="0"/>
</file>

<file path=xl/ctrlProps/ctrlProp2.xml><?xml version="1.0" encoding="utf-8"?>
<formControlPr xmlns="http://schemas.microsoft.com/office/spreadsheetml/2009/9/main" objectType="Drop" dropLines="23" dropStyle="combo" dx="21" fmlaLink="$C$362" fmlaRange="country2!$A$11:$A$32" noThreeD="1" sel="22" val="0"/>
</file>

<file path=xl/ctrlProps/ctrlProp20.xml><?xml version="1.0" encoding="utf-8"?>
<formControlPr xmlns="http://schemas.microsoft.com/office/spreadsheetml/2009/9/main" objectType="Drop" dropLines="4" dropStyle="combo" dx="21" fmlaLink="$C$336" fmlaRange="$B$370:$B$373" noThreeD="1" sel="2" val="0"/>
</file>

<file path=xl/ctrlProps/ctrlProp21.xml><?xml version="1.0" encoding="utf-8"?>
<formControlPr xmlns="http://schemas.microsoft.com/office/spreadsheetml/2009/9/main" objectType="Drop" dropLines="3" dropStyle="combo" dx="21" fmlaLink="$C$337" fmlaRange="$B$374:$B$376" noThreeD="1" sel="2" val="0"/>
</file>

<file path=xl/ctrlProps/ctrlProp22.xml><?xml version="1.0" encoding="utf-8"?>
<formControlPr xmlns="http://schemas.microsoft.com/office/spreadsheetml/2009/9/main" objectType="Drop" dropLines="5" dropStyle="combo" dx="21" fmlaLink="$C$338" fmlaRange="$B$378:$B$382" noThreeD="1" sel="2" val="0"/>
</file>

<file path=xl/ctrlProps/ctrlProp23.xml><?xml version="1.0" encoding="utf-8"?>
<formControlPr xmlns="http://schemas.microsoft.com/office/spreadsheetml/2009/9/main" objectType="Drop" dropLines="6" dropStyle="combo" dx="21" fmlaLink="$C$321" fmlaRange="$B$481:$B$488" noThreeD="1" sel="1" val="0"/>
</file>

<file path=xl/ctrlProps/ctrlProp24.xml><?xml version="1.0" encoding="utf-8"?>
<formControlPr xmlns="http://schemas.microsoft.com/office/spreadsheetml/2009/9/main" objectType="Drop" dropLines="6" dropStyle="combo" dx="21" fmlaLink="$H$404" fmlaRange="$G$304:$G$309" noThreeD="1" sel="1" val="0"/>
</file>

<file path=xl/ctrlProps/ctrlProp25.xml><?xml version="1.0" encoding="utf-8"?>
<formControlPr xmlns="http://schemas.microsoft.com/office/spreadsheetml/2009/9/main" objectType="Drop" dropLines="6" dropStyle="combo" dx="21" fmlaLink="$C$355" fmlaRange="'Area 2'!$B$4:$B$9" noThreeD="1" sel="3" val="0"/>
</file>

<file path=xl/ctrlProps/ctrlProp26.xml><?xml version="1.0" encoding="utf-8"?>
<formControlPr xmlns="http://schemas.microsoft.com/office/spreadsheetml/2009/9/main" objectType="Drop" dropLines="16" dropStyle="combo" dx="21" fmlaLink="$C$356" fmlaRange="'Area 2'!$E$15:$E$56" noThreeD="1" sel="1" val="0"/>
</file>

<file path=xl/ctrlProps/ctrlProp27.xml><?xml version="1.0" encoding="utf-8"?>
<formControlPr xmlns="http://schemas.microsoft.com/office/spreadsheetml/2009/9/main" objectType="Drop" dropLines="4" dropStyle="combo" dx="21" fmlaLink="$C$347" fmlaRange="$B$490:$B$493" noThreeD="1" sel="2" val="0"/>
</file>

<file path=xl/ctrlProps/ctrlProp28.xml><?xml version="1.0" encoding="utf-8"?>
<formControlPr xmlns="http://schemas.microsoft.com/office/spreadsheetml/2009/9/main" objectType="Drop" dropLines="3" dropStyle="combo" dx="21" fmlaLink="$C$334" fmlaRange="$B$497:$B$499" noThreeD="1" sel="1" val="0"/>
</file>

<file path=xl/ctrlProps/ctrlProp29.xml><?xml version="1.0" encoding="utf-8"?>
<formControlPr xmlns="http://schemas.microsoft.com/office/spreadsheetml/2009/9/main" objectType="Drop" dropLines="3" dropStyle="combo" dx="21" fmlaLink="$C$335" fmlaRange="$B$497:$B$499" noThreeD="1" sel="1" val="0"/>
</file>

<file path=xl/ctrlProps/ctrlProp3.xml><?xml version="1.0" encoding="utf-8"?>
<formControlPr xmlns="http://schemas.microsoft.com/office/spreadsheetml/2009/9/main" objectType="Drop" dropLines="7" dropStyle="combo" dx="21" fmlaLink="$C$316" fmlaRange="$B$388:$B$394" noThreeD="1" sel="1" val="0"/>
</file>

<file path=xl/ctrlProps/ctrlProp30.xml><?xml version="1.0" encoding="utf-8"?>
<formControlPr xmlns="http://schemas.microsoft.com/office/spreadsheetml/2009/9/main" objectType="Drop" dropLines="3" dropStyle="combo" dx="21" fmlaLink="$C$340" fmlaRange="$B$497:$B$499" noThreeD="1" sel="3" val="0"/>
</file>

<file path=xl/ctrlProps/ctrlProp31.xml><?xml version="1.0" encoding="utf-8"?>
<formControlPr xmlns="http://schemas.microsoft.com/office/spreadsheetml/2009/9/main" objectType="Drop" dropLines="3" dropStyle="combo" dx="21" fmlaLink="$C$324" fmlaRange="$B$497:$B$499" noThreeD="1" sel="1" val="0"/>
</file>

<file path=xl/ctrlProps/ctrlProp32.xml><?xml version="1.0" encoding="utf-8"?>
<formControlPr xmlns="http://schemas.microsoft.com/office/spreadsheetml/2009/9/main" objectType="Drop" dropLines="3" dropStyle="combo" dx="21" fmlaLink="$C$325" fmlaRange="$B$497:$B$499" noThreeD="1" sel="3" val="0"/>
</file>

<file path=xl/ctrlProps/ctrlProp33.xml><?xml version="1.0" encoding="utf-8"?>
<formControlPr xmlns="http://schemas.microsoft.com/office/spreadsheetml/2009/9/main" objectType="Drop" dropLines="3" dropStyle="combo" dx="21" fmlaLink="$C$327" fmlaRange="$B$497:$B$499" noThreeD="1" sel="1" val="0"/>
</file>

<file path=xl/ctrlProps/ctrlProp34.xml><?xml version="1.0" encoding="utf-8"?>
<formControlPr xmlns="http://schemas.microsoft.com/office/spreadsheetml/2009/9/main" objectType="Drop" dropLines="3" dropStyle="combo" dx="21" fmlaLink="$C$328" fmlaRange="$B$497:$B$499" noThreeD="1" sel="1" val="0"/>
</file>

<file path=xl/ctrlProps/ctrlProp35.xml><?xml version="1.0" encoding="utf-8"?>
<formControlPr xmlns="http://schemas.microsoft.com/office/spreadsheetml/2009/9/main" objectType="Drop" dropLines="3" dropStyle="combo" dx="21" fmlaLink="$C$333" fmlaRange="$B$497:$B$499" noThreeD="1" sel="1" val="0"/>
</file>

<file path=xl/ctrlProps/ctrlProp36.xml><?xml version="1.0" encoding="utf-8"?>
<formControlPr xmlns="http://schemas.microsoft.com/office/spreadsheetml/2009/9/main" objectType="Drop" dropLines="3" dropStyle="combo" dx="21" fmlaLink="$C$331" fmlaRange="$B$497:$B$499" noThreeD="1" sel="1" val="0"/>
</file>

<file path=xl/ctrlProps/ctrlProp37.xml><?xml version="1.0" encoding="utf-8"?>
<formControlPr xmlns="http://schemas.microsoft.com/office/spreadsheetml/2009/9/main" objectType="Drop" dropLines="3" dropStyle="combo" dx="21" fmlaLink="$C$330" fmlaRange="$B$497:$B$499" noThreeD="1" sel="1" val="0"/>
</file>

<file path=xl/ctrlProps/ctrlProp38.xml><?xml version="1.0" encoding="utf-8"?>
<formControlPr xmlns="http://schemas.microsoft.com/office/spreadsheetml/2009/9/main" objectType="Drop" dropLines="3" dropStyle="combo" dx="21" fmlaLink="$C$346" fmlaRange="$B$497:$B$499" noThreeD="1" sel="3" val="0"/>
</file>

<file path=xl/ctrlProps/ctrlProp39.xml><?xml version="1.0" encoding="utf-8"?>
<formControlPr xmlns="http://schemas.microsoft.com/office/spreadsheetml/2009/9/main" objectType="Drop" dropLines="4" dropStyle="combo" dx="21" fmlaLink="$C$350" fmlaRange="$B$515:$B$518" noThreeD="1" sel="2" val="0"/>
</file>

<file path=xl/ctrlProps/ctrlProp4.xml><?xml version="1.0" encoding="utf-8"?>
<formControlPr xmlns="http://schemas.microsoft.com/office/spreadsheetml/2009/9/main" objectType="Drop" dropLines="5" dropStyle="combo" dx="21" fmlaLink="$C$317" fmlaRange="$B$395:$B$399" noThreeD="1" sel="1" val="0"/>
</file>

<file path=xl/ctrlProps/ctrlProp40.xml><?xml version="1.0" encoding="utf-8"?>
<formControlPr xmlns="http://schemas.microsoft.com/office/spreadsheetml/2009/9/main" objectType="Drop" dropLines="4" dropStyle="combo" dx="21" fmlaLink="$C$351" fmlaRange="$B$515:$B$518" noThreeD="1" sel="2" val="0"/>
</file>

<file path=xl/ctrlProps/ctrlProp41.xml><?xml version="1.0" encoding="utf-8"?>
<formControlPr xmlns="http://schemas.microsoft.com/office/spreadsheetml/2009/9/main" objectType="Drop" dropLines="3" dropStyle="combo" dx="21" fmlaLink="$C$348" fmlaRange="$B$497:$B$499" noThreeD="1" sel="1" val="0"/>
</file>

<file path=xl/ctrlProps/ctrlProp42.xml><?xml version="1.0" encoding="utf-8"?>
<formControlPr xmlns="http://schemas.microsoft.com/office/spreadsheetml/2009/9/main" objectType="Drop" dropLines="4" dropStyle="combo" dx="21" fmlaLink="$C$359" fmlaRange="$B$501:$B$504" noThreeD="1" sel="2" val="0"/>
</file>

<file path=xl/ctrlProps/ctrlProp43.xml><?xml version="1.0" encoding="utf-8"?>
<formControlPr xmlns="http://schemas.microsoft.com/office/spreadsheetml/2009/9/main" objectType="Drop" dropLines="5" dropStyle="combo" dx="21" fmlaLink="$C$360" fmlaRange="country2!$B$3:$B$8" noThreeD="1" sel="2" val="0"/>
</file>

<file path=xl/ctrlProps/ctrlProp44.xml><?xml version="1.0" encoding="utf-8"?>
<formControlPr xmlns="http://schemas.microsoft.com/office/spreadsheetml/2009/9/main" objectType="Drop" dropLines="3" dropStyle="combo" dx="21" fmlaLink="$C$349" fmlaRange="$B$497:$B$499" noThreeD="1" sel="3" val="0"/>
</file>

<file path=xl/ctrlProps/ctrlProp45.xml><?xml version="1.0" encoding="utf-8"?>
<formControlPr xmlns="http://schemas.microsoft.com/office/spreadsheetml/2009/9/main" objectType="Drop" dropLines="7" dropStyle="combo" dx="21" fmlaLink="$C$364" fmlaRange="$B$507:$B$513" noThreeD="1" sel="1" val="0"/>
</file>

<file path=xl/ctrlProps/ctrlProp46.xml><?xml version="1.0" encoding="utf-8"?>
<formControlPr xmlns="http://schemas.microsoft.com/office/spreadsheetml/2009/9/main" objectType="Drop" dropLines="3" dropStyle="combo" dx="21" fmlaLink="$C$369" fmlaRange="$B$497:$B$499" noThreeD="1" sel="3" val="0"/>
</file>

<file path=xl/ctrlProps/ctrlProp47.xml><?xml version="1.0" encoding="utf-8"?>
<formControlPr xmlns="http://schemas.microsoft.com/office/spreadsheetml/2009/9/main" objectType="Drop" dropLines="3" dropStyle="combo" dx="21" fmlaLink="$C$370" fmlaRange="$B$497:$B$499" noThreeD="1" sel="3" val="0"/>
</file>

<file path=xl/ctrlProps/ctrlProp48.xml><?xml version="1.0" encoding="utf-8"?>
<formControlPr xmlns="http://schemas.microsoft.com/office/spreadsheetml/2009/9/main" objectType="Drop" dropLines="3" dropStyle="combo" dx="21" fmlaLink="$C$371" fmlaRange="$B$497:$B$499" noThreeD="1" sel="3" val="0"/>
</file>

<file path=xl/ctrlProps/ctrlProp49.xml><?xml version="1.0" encoding="utf-8"?>
<formControlPr xmlns="http://schemas.microsoft.com/office/spreadsheetml/2009/9/main" objectType="Drop" dropLines="3" dropStyle="combo" dx="21" fmlaLink="$C$372" fmlaRange="$B$497:$B$499" noThreeD="1" sel="3" val="0"/>
</file>

<file path=xl/ctrlProps/ctrlProp5.xml><?xml version="1.0" encoding="utf-8"?>
<formControlPr xmlns="http://schemas.microsoft.com/office/spreadsheetml/2009/9/main" objectType="Drop" dropLines="4" dropStyle="combo" dx="21" fmlaLink="$C$318" fmlaRange="$B$401:$B$403" noThreeD="1" sel="1" val="0"/>
</file>

<file path=xl/ctrlProps/ctrlProp50.xml><?xml version="1.0" encoding="utf-8"?>
<formControlPr xmlns="http://schemas.microsoft.com/office/spreadsheetml/2009/9/main" objectType="Drop" dropLines="3" dropStyle="combo" dx="21" fmlaLink="$C$341" fmlaRange="$B$521:$B$523" noThreeD="1" sel="2" val="0"/>
</file>

<file path=xl/ctrlProps/ctrlProp51.xml><?xml version="1.0" encoding="utf-8"?>
<formControlPr xmlns="http://schemas.microsoft.com/office/spreadsheetml/2009/9/main" objectType="CheckBox" fmlaLink="$C$374" noThreeD="1"/>
</file>

<file path=xl/ctrlProps/ctrlProp52.xml><?xml version="1.0" encoding="utf-8"?>
<formControlPr xmlns="http://schemas.microsoft.com/office/spreadsheetml/2009/9/main" objectType="Drop" dropLines="3" dropStyle="combo" dx="21" fmlaLink="$C$375" fmlaRange="$B$497:$B$499" noThreeD="1" sel="3" val="0"/>
</file>

<file path=xl/ctrlProps/ctrlProp53.xml><?xml version="1.0" encoding="utf-8"?>
<formControlPr xmlns="http://schemas.microsoft.com/office/spreadsheetml/2009/9/main" objectType="Drop" dropLines="3" dropStyle="combo" dx="21" fmlaLink="$C$376" fmlaRange="$B$497:$B$499" noThreeD="1" sel="3" val="0"/>
</file>

<file path=xl/ctrlProps/ctrlProp6.xml><?xml version="1.0" encoding="utf-8"?>
<formControlPr xmlns="http://schemas.microsoft.com/office/spreadsheetml/2009/9/main" objectType="Drop" dropLines="4" dropStyle="combo" dx="21" fmlaLink="$C$319" fmlaRange="$B$406:$B$409" noThreeD="1" sel="1" val="0"/>
</file>

<file path=xl/ctrlProps/ctrlProp7.xml><?xml version="1.0" encoding="utf-8"?>
<formControlPr xmlns="http://schemas.microsoft.com/office/spreadsheetml/2009/9/main" objectType="Drop" dropLines="9" dropStyle="combo" dx="21" fmlaLink="$C$320" fmlaRange="$B$410:$B$418" noThreeD="1" sel="1" val="0"/>
</file>

<file path=xl/ctrlProps/ctrlProp8.xml><?xml version="1.0" encoding="utf-8"?>
<formControlPr xmlns="http://schemas.microsoft.com/office/spreadsheetml/2009/9/main" objectType="Drop" dropLines="4" dropStyle="combo" dx="21" fmlaLink="$C$314" fmlaRange="$B$419:$B$422" noThreeD="1" sel="1" val="0"/>
</file>

<file path=xl/ctrlProps/ctrlProp9.xml><?xml version="1.0" encoding="utf-8"?>
<formControlPr xmlns="http://schemas.microsoft.com/office/spreadsheetml/2009/9/main" objectType="Drop" dropLines="7" dropStyle="combo" dx="21" fmlaLink="$C$315" fmlaRange="$B$423:$B$429"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https://www.spinlock.co.uk/" TargetMode="Externa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7</xdr:col>
      <xdr:colOff>590550</xdr:colOff>
      <xdr:row>1</xdr:row>
      <xdr:rowOff>66675</xdr:rowOff>
    </xdr:from>
    <xdr:to>
      <xdr:col>7</xdr:col>
      <xdr:colOff>2533650</xdr:colOff>
      <xdr:row>3</xdr:row>
      <xdr:rowOff>28575</xdr:rowOff>
    </xdr:to>
    <xdr:pic>
      <xdr:nvPicPr>
        <xdr:cNvPr id="1755" name="Picture 180" descr="spinlock_logo_314x70">
          <a:hlinkClick xmlns:r="http://schemas.openxmlformats.org/officeDocument/2006/relationships" r:id="rId1"/>
          <a:extLst>
            <a:ext uri="{FF2B5EF4-FFF2-40B4-BE49-F238E27FC236}">
              <a16:creationId xmlns:a16="http://schemas.microsoft.com/office/drawing/2014/main" id="{00000000-0008-0000-0000-0000DB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29425" y="704850"/>
          <a:ext cx="19431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0</xdr:col>
      <xdr:colOff>152400</xdr:colOff>
      <xdr:row>1</xdr:row>
      <xdr:rowOff>76200</xdr:rowOff>
    </xdr:from>
    <xdr:to>
      <xdr:col>1</xdr:col>
      <xdr:colOff>1009650</xdr:colOff>
      <xdr:row>5</xdr:row>
      <xdr:rowOff>19050</xdr:rowOff>
    </xdr:to>
    <xdr:pic>
      <xdr:nvPicPr>
        <xdr:cNvPr id="1756" name="Picture 3" descr="spinlock_irc_logo_words_s.jpg">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714375"/>
          <a:ext cx="1362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1704975</xdr:colOff>
          <xdr:row>126</xdr:row>
          <xdr:rowOff>19050</xdr:rowOff>
        </xdr:from>
        <xdr:to>
          <xdr:col>4</xdr:col>
          <xdr:colOff>57150</xdr:colOff>
          <xdr:row>127</xdr:row>
          <xdr:rowOff>9525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9525</xdr:rowOff>
        </xdr:from>
        <xdr:to>
          <xdr:col>4</xdr:col>
          <xdr:colOff>590550</xdr:colOff>
          <xdr:row>223</xdr:row>
          <xdr:rowOff>209550</xdr:rowOff>
        </xdr:to>
        <xdr:sp macro="" textlink="">
          <xdr:nvSpPr>
            <xdr:cNvPr id="1189" name="Drop Dow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117</xdr:row>
          <xdr:rowOff>19050</xdr:rowOff>
        </xdr:from>
        <xdr:to>
          <xdr:col>7</xdr:col>
          <xdr:colOff>47625</xdr:colOff>
          <xdr:row>118</xdr:row>
          <xdr:rowOff>47625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1704975</xdr:colOff>
          <xdr:row>128</xdr:row>
          <xdr:rowOff>9525</xdr:rowOff>
        </xdr:from>
        <xdr:to>
          <xdr:col>4</xdr:col>
          <xdr:colOff>0</xdr:colOff>
          <xdr:row>129</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5</xdr:col>
          <xdr:colOff>57150</xdr:colOff>
          <xdr:row>132</xdr:row>
          <xdr:rowOff>209550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145</xdr:row>
          <xdr:rowOff>19050</xdr:rowOff>
        </xdr:from>
        <xdr:to>
          <xdr:col>2</xdr:col>
          <xdr:colOff>600075</xdr:colOff>
          <xdr:row>145</xdr:row>
          <xdr:rowOff>219075</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866775</xdr:colOff>
          <xdr:row>147</xdr:row>
          <xdr:rowOff>38100</xdr:rowOff>
        </xdr:from>
        <xdr:to>
          <xdr:col>4</xdr:col>
          <xdr:colOff>381000</xdr:colOff>
          <xdr:row>147</xdr:row>
          <xdr:rowOff>238125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126</xdr:row>
          <xdr:rowOff>19050</xdr:rowOff>
        </xdr:from>
        <xdr:to>
          <xdr:col>6</xdr:col>
          <xdr:colOff>200025</xdr:colOff>
          <xdr:row>127</xdr:row>
          <xdr:rowOff>9525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126</xdr:row>
          <xdr:rowOff>19050</xdr:rowOff>
        </xdr:from>
        <xdr:to>
          <xdr:col>7</xdr:col>
          <xdr:colOff>66675</xdr:colOff>
          <xdr:row>127</xdr:row>
          <xdr:rowOff>9525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206</xdr:row>
          <xdr:rowOff>238125</xdr:rowOff>
        </xdr:from>
        <xdr:to>
          <xdr:col>4</xdr:col>
          <xdr:colOff>219075</xdr:colOff>
          <xdr:row>208</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7</xdr:col>
          <xdr:colOff>95250</xdr:colOff>
          <xdr:row>64</xdr:row>
          <xdr:rowOff>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1752600</xdr:colOff>
          <xdr:row>65</xdr:row>
          <xdr:rowOff>0</xdr:rowOff>
        </xdr:from>
        <xdr:to>
          <xdr:col>6</xdr:col>
          <xdr:colOff>171450</xdr:colOff>
          <xdr:row>66</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4</xdr:col>
          <xdr:colOff>523875</xdr:colOff>
          <xdr:row>71</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4</xdr:col>
          <xdr:colOff>523875</xdr:colOff>
          <xdr:row>72</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6</xdr:col>
          <xdr:colOff>28575</xdr:colOff>
          <xdr:row>73</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5</xdr:col>
          <xdr:colOff>142875</xdr:colOff>
          <xdr:row>68</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5</xdr:col>
          <xdr:colOff>133350</xdr:colOff>
          <xdr:row>69</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1752600</xdr:colOff>
          <xdr:row>66</xdr:row>
          <xdr:rowOff>0</xdr:rowOff>
        </xdr:from>
        <xdr:to>
          <xdr:col>6</xdr:col>
          <xdr:colOff>171450</xdr:colOff>
          <xdr:row>67</xdr:row>
          <xdr:rowOff>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6</xdr:col>
          <xdr:colOff>1390650</xdr:colOff>
          <xdr:row>74</xdr:row>
          <xdr:rowOff>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162</xdr:row>
          <xdr:rowOff>200025</xdr:rowOff>
        </xdr:from>
        <xdr:to>
          <xdr:col>4</xdr:col>
          <xdr:colOff>542925</xdr:colOff>
          <xdr:row>163</xdr:row>
          <xdr:rowOff>190500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162</xdr:row>
          <xdr:rowOff>200025</xdr:rowOff>
        </xdr:from>
        <xdr:to>
          <xdr:col>1</xdr:col>
          <xdr:colOff>1562100</xdr:colOff>
          <xdr:row>163</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162</xdr:row>
          <xdr:rowOff>200025</xdr:rowOff>
        </xdr:from>
        <xdr:to>
          <xdr:col>6</xdr:col>
          <xdr:colOff>990600</xdr:colOff>
          <xdr:row>163</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136</xdr:row>
          <xdr:rowOff>9525</xdr:rowOff>
        </xdr:from>
        <xdr:to>
          <xdr:col>6</xdr:col>
          <xdr:colOff>323850</xdr:colOff>
          <xdr:row>137</xdr:row>
          <xdr:rowOff>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xdr:row>
          <xdr:rowOff>28575</xdr:rowOff>
        </xdr:from>
        <xdr:to>
          <xdr:col>6</xdr:col>
          <xdr:colOff>1057275</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227</xdr:row>
          <xdr:rowOff>0</xdr:rowOff>
        </xdr:from>
        <xdr:to>
          <xdr:col>4</xdr:col>
          <xdr:colOff>600075</xdr:colOff>
          <xdr:row>227</xdr:row>
          <xdr:rowOff>200025</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228</xdr:row>
          <xdr:rowOff>0</xdr:rowOff>
        </xdr:from>
        <xdr:to>
          <xdr:col>4</xdr:col>
          <xdr:colOff>600075</xdr:colOff>
          <xdr:row>228</xdr:row>
          <xdr:rowOff>200025</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184</xdr:row>
          <xdr:rowOff>66675</xdr:rowOff>
        </xdr:from>
        <xdr:to>
          <xdr:col>6</xdr:col>
          <xdr:colOff>1409700</xdr:colOff>
          <xdr:row>185</xdr:row>
          <xdr:rowOff>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58</xdr:row>
          <xdr:rowOff>180975</xdr:rowOff>
        </xdr:from>
        <xdr:to>
          <xdr:col>4</xdr:col>
          <xdr:colOff>152400</xdr:colOff>
          <xdr:row>60</xdr:row>
          <xdr:rowOff>19050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58</xdr:row>
          <xdr:rowOff>180975</xdr:rowOff>
        </xdr:from>
        <xdr:to>
          <xdr:col>6</xdr:col>
          <xdr:colOff>1181100</xdr:colOff>
          <xdr:row>60</xdr:row>
          <xdr:rowOff>19050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165</xdr:row>
          <xdr:rowOff>57150</xdr:rowOff>
        </xdr:from>
        <xdr:to>
          <xdr:col>5</xdr:col>
          <xdr:colOff>495300</xdr:colOff>
          <xdr:row>166</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1552575</xdr:colOff>
          <xdr:row>52</xdr:row>
          <xdr:rowOff>38100</xdr:rowOff>
        </xdr:from>
        <xdr:to>
          <xdr:col>3</xdr:col>
          <xdr:colOff>66675</xdr:colOff>
          <xdr:row>52</xdr:row>
          <xdr:rowOff>238125</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9525</xdr:rowOff>
        </xdr:from>
        <xdr:to>
          <xdr:col>4</xdr:col>
          <xdr:colOff>342900</xdr:colOff>
          <xdr:row>168</xdr:row>
          <xdr:rowOff>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134</xdr:row>
          <xdr:rowOff>38100</xdr:rowOff>
        </xdr:from>
        <xdr:to>
          <xdr:col>5</xdr:col>
          <xdr:colOff>571500</xdr:colOff>
          <xdr:row>134</xdr:row>
          <xdr:rowOff>247650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119</xdr:row>
          <xdr:rowOff>19050</xdr:rowOff>
        </xdr:from>
        <xdr:to>
          <xdr:col>5</xdr:col>
          <xdr:colOff>400050</xdr:colOff>
          <xdr:row>120</xdr:row>
          <xdr:rowOff>19050</xdr:rowOff>
        </xdr:to>
        <xdr:sp macro="" textlink="">
          <xdr:nvSpPr>
            <xdr:cNvPr id="1174" name="Drop Dow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124</xdr:row>
          <xdr:rowOff>28575</xdr:rowOff>
        </xdr:from>
        <xdr:to>
          <xdr:col>4</xdr:col>
          <xdr:colOff>561975</xdr:colOff>
          <xdr:row>125</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122</xdr:row>
          <xdr:rowOff>47625</xdr:rowOff>
        </xdr:from>
        <xdr:to>
          <xdr:col>5</xdr:col>
          <xdr:colOff>381000</xdr:colOff>
          <xdr:row>123</xdr:row>
          <xdr:rowOff>38100</xdr:rowOff>
        </xdr:to>
        <xdr:sp macro="" textlink="">
          <xdr:nvSpPr>
            <xdr:cNvPr id="1176" name="Drop Dow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149</xdr:row>
          <xdr:rowOff>9525</xdr:rowOff>
        </xdr:from>
        <xdr:to>
          <xdr:col>3</xdr:col>
          <xdr:colOff>295275</xdr:colOff>
          <xdr:row>149</xdr:row>
          <xdr:rowOff>219075</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192</xdr:row>
          <xdr:rowOff>28575</xdr:rowOff>
        </xdr:from>
        <xdr:to>
          <xdr:col>2</xdr:col>
          <xdr:colOff>495300</xdr:colOff>
          <xdr:row>193</xdr:row>
          <xdr:rowOff>19050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188</xdr:row>
          <xdr:rowOff>19050</xdr:rowOff>
        </xdr:from>
        <xdr:to>
          <xdr:col>3</xdr:col>
          <xdr:colOff>428625</xdr:colOff>
          <xdr:row>189</xdr:row>
          <xdr:rowOff>38100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19050</xdr:rowOff>
        </xdr:from>
        <xdr:to>
          <xdr:col>6</xdr:col>
          <xdr:colOff>990600</xdr:colOff>
          <xdr:row>189</xdr:row>
          <xdr:rowOff>38100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154</xdr:row>
          <xdr:rowOff>161925</xdr:rowOff>
        </xdr:from>
        <xdr:to>
          <xdr:col>6</xdr:col>
          <xdr:colOff>171450</xdr:colOff>
          <xdr:row>155</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1447800</xdr:colOff>
          <xdr:row>175</xdr:row>
          <xdr:rowOff>0</xdr:rowOff>
        </xdr:from>
        <xdr:to>
          <xdr:col>3</xdr:col>
          <xdr:colOff>457200</xdr:colOff>
          <xdr:row>175</xdr:row>
          <xdr:rowOff>209550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222</xdr:row>
          <xdr:rowOff>28575</xdr:rowOff>
        </xdr:from>
        <xdr:to>
          <xdr:col>4</xdr:col>
          <xdr:colOff>590550</xdr:colOff>
          <xdr:row>222</xdr:row>
          <xdr:rowOff>228600</xdr:rowOff>
        </xdr:to>
        <xdr:sp macro="" textlink="">
          <xdr:nvSpPr>
            <xdr:cNvPr id="1188" name="Drop Dow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252</xdr:row>
          <xdr:rowOff>9525</xdr:rowOff>
        </xdr:from>
        <xdr:to>
          <xdr:col>6</xdr:col>
          <xdr:colOff>1190625</xdr:colOff>
          <xdr:row>252</xdr:row>
          <xdr:rowOff>209550</xdr:rowOff>
        </xdr:to>
        <xdr:sp macro="" textlink="">
          <xdr:nvSpPr>
            <xdr:cNvPr id="1193" name="Drop Dow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121</xdr:row>
          <xdr:rowOff>57150</xdr:rowOff>
        </xdr:from>
        <xdr:to>
          <xdr:col>5</xdr:col>
          <xdr:colOff>390525</xdr:colOff>
          <xdr:row>121</xdr:row>
          <xdr:rowOff>314325</xdr:rowOff>
        </xdr:to>
        <xdr:sp macro="" textlink="">
          <xdr:nvSpPr>
            <xdr:cNvPr id="1201" name="Drop Dow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192</xdr:row>
          <xdr:rowOff>9525</xdr:rowOff>
        </xdr:from>
        <xdr:to>
          <xdr:col>6</xdr:col>
          <xdr:colOff>342900</xdr:colOff>
          <xdr:row>193</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193</xdr:row>
          <xdr:rowOff>19050</xdr:rowOff>
        </xdr:from>
        <xdr:to>
          <xdr:col>2</xdr:col>
          <xdr:colOff>495300</xdr:colOff>
          <xdr:row>194</xdr:row>
          <xdr:rowOff>9525</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194</xdr:row>
          <xdr:rowOff>9525</xdr:rowOff>
        </xdr:from>
        <xdr:to>
          <xdr:col>2</xdr:col>
          <xdr:colOff>495300</xdr:colOff>
          <xdr:row>195</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104775</xdr:rowOff>
        </xdr:from>
        <xdr:to>
          <xdr:col>6</xdr:col>
          <xdr:colOff>1438275</xdr:colOff>
          <xdr:row>26</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147</xdr:row>
          <xdr:rowOff>19050</xdr:rowOff>
        </xdr:from>
        <xdr:to>
          <xdr:col>6</xdr:col>
          <xdr:colOff>952500</xdr:colOff>
          <xdr:row>147</xdr:row>
          <xdr:rowOff>219075</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132</xdr:row>
          <xdr:rowOff>238125</xdr:rowOff>
        </xdr:from>
        <xdr:to>
          <xdr:col>6</xdr:col>
          <xdr:colOff>676275</xdr:colOff>
          <xdr:row>134</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4</xdr:col>
          <xdr:colOff>342900</xdr:colOff>
          <xdr:row>170</xdr:row>
          <xdr:rowOff>209550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172</xdr:row>
          <xdr:rowOff>180975</xdr:rowOff>
        </xdr:from>
        <xdr:to>
          <xdr:col>4</xdr:col>
          <xdr:colOff>342900</xdr:colOff>
          <xdr:row>173</xdr:row>
          <xdr:rowOff>171450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xdr:col>
      <xdr:colOff>1552575</xdr:colOff>
      <xdr:row>1</xdr:row>
      <xdr:rowOff>171450</xdr:rowOff>
    </xdr:from>
    <xdr:to>
      <xdr:col>2</xdr:col>
      <xdr:colOff>485775</xdr:colOff>
      <xdr:row>4</xdr:row>
      <xdr:rowOff>105156</xdr:rowOff>
    </xdr:to>
    <xdr:pic>
      <xdr:nvPicPr>
        <xdr:cNvPr id="58" name="Picture 57">
          <a:extLst>
            <a:ext uri="{FF2B5EF4-FFF2-40B4-BE49-F238E27FC236}">
              <a16:creationId xmlns:a16="http://schemas.microsoft.com/office/drawing/2014/main" id="{00000000-0008-0000-0000-00003A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57400" y="809625"/>
          <a:ext cx="685800" cy="67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6076950" cy="8753475"/>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1609725</xdr:colOff>
      <xdr:row>45</xdr:row>
      <xdr:rowOff>19050</xdr:rowOff>
    </xdr:to>
    <xdr:pic>
      <xdr:nvPicPr>
        <xdr:cNvPr id="9465" name="Picture 4" descr="IRC keels 2012">
          <a:extLst>
            <a:ext uri="{FF2B5EF4-FFF2-40B4-BE49-F238E27FC236}">
              <a16:creationId xmlns:a16="http://schemas.microsoft.com/office/drawing/2014/main" id="{00000000-0008-0000-0300-0000F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5267325" cy="735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bin"/><Relationship Id="rId18" Type="http://schemas.openxmlformats.org/officeDocument/2006/relationships/ctrlProp" Target="../ctrlProps/ctrlProp3.xml"/><Relationship Id="rId26" Type="http://schemas.openxmlformats.org/officeDocument/2006/relationships/ctrlProp" Target="../ctrlProps/ctrlProp11.xml"/><Relationship Id="rId39" Type="http://schemas.openxmlformats.org/officeDocument/2006/relationships/ctrlProp" Target="../ctrlProps/ctrlProp24.xml"/><Relationship Id="rId21" Type="http://schemas.openxmlformats.org/officeDocument/2006/relationships/ctrlProp" Target="../ctrlProps/ctrlProp6.xml"/><Relationship Id="rId34" Type="http://schemas.openxmlformats.org/officeDocument/2006/relationships/ctrlProp" Target="../ctrlProps/ctrlProp19.xml"/><Relationship Id="rId42" Type="http://schemas.openxmlformats.org/officeDocument/2006/relationships/ctrlProp" Target="../ctrlProps/ctrlProp27.xml"/><Relationship Id="rId47" Type="http://schemas.openxmlformats.org/officeDocument/2006/relationships/ctrlProp" Target="../ctrlProps/ctrlProp32.xml"/><Relationship Id="rId50" Type="http://schemas.openxmlformats.org/officeDocument/2006/relationships/ctrlProp" Target="../ctrlProps/ctrlProp35.xml"/><Relationship Id="rId55" Type="http://schemas.openxmlformats.org/officeDocument/2006/relationships/ctrlProp" Target="../ctrlProps/ctrlProp40.xml"/><Relationship Id="rId63" Type="http://schemas.openxmlformats.org/officeDocument/2006/relationships/ctrlProp" Target="../ctrlProps/ctrlProp48.xml"/><Relationship Id="rId68" Type="http://schemas.openxmlformats.org/officeDocument/2006/relationships/ctrlProp" Target="../ctrlProps/ctrlProp53.xml"/><Relationship Id="rId7" Type="http://schemas.openxmlformats.org/officeDocument/2006/relationships/hyperlink" Target="http://www.ircrating.org/technical-a-certification/rule-a-definitions" TargetMode="External"/><Relationship Id="rId2" Type="http://schemas.openxmlformats.org/officeDocument/2006/relationships/hyperlink" Target="http://www.ircrating.org/" TargetMode="External"/><Relationship Id="rId16" Type="http://schemas.openxmlformats.org/officeDocument/2006/relationships/ctrlProp" Target="../ctrlProps/ctrlProp1.xml"/><Relationship Id="rId29" Type="http://schemas.openxmlformats.org/officeDocument/2006/relationships/ctrlProp" Target="../ctrlProps/ctrlProp14.xml"/><Relationship Id="rId1" Type="http://schemas.openxmlformats.org/officeDocument/2006/relationships/hyperlink" Target="http://ircrating.org/" TargetMode="External"/><Relationship Id="rId6" Type="http://schemas.openxmlformats.org/officeDocument/2006/relationships/hyperlink" Target="http://www.ircrating.org/technical-a-certification/rule-a-definitions" TargetMode="External"/><Relationship Id="rId11" Type="http://schemas.openxmlformats.org/officeDocument/2006/relationships/hyperlink" Target="https://www.ircrating.org/technical-a-certification/rule-a-definitions" TargetMode="External"/><Relationship Id="rId24" Type="http://schemas.openxmlformats.org/officeDocument/2006/relationships/ctrlProp" Target="../ctrlProps/ctrlProp9.xml"/><Relationship Id="rId32" Type="http://schemas.openxmlformats.org/officeDocument/2006/relationships/ctrlProp" Target="../ctrlProps/ctrlProp17.xml"/><Relationship Id="rId37" Type="http://schemas.openxmlformats.org/officeDocument/2006/relationships/ctrlProp" Target="../ctrlProps/ctrlProp22.xml"/><Relationship Id="rId40" Type="http://schemas.openxmlformats.org/officeDocument/2006/relationships/ctrlProp" Target="../ctrlProps/ctrlProp25.xml"/><Relationship Id="rId45" Type="http://schemas.openxmlformats.org/officeDocument/2006/relationships/ctrlProp" Target="../ctrlProps/ctrlProp30.xml"/><Relationship Id="rId53" Type="http://schemas.openxmlformats.org/officeDocument/2006/relationships/ctrlProp" Target="../ctrlProps/ctrlProp38.xml"/><Relationship Id="rId58" Type="http://schemas.openxmlformats.org/officeDocument/2006/relationships/ctrlProp" Target="../ctrlProps/ctrlProp43.xml"/><Relationship Id="rId66" Type="http://schemas.openxmlformats.org/officeDocument/2006/relationships/ctrlProp" Target="../ctrlProps/ctrlProp51.xml"/><Relationship Id="rId5" Type="http://schemas.openxmlformats.org/officeDocument/2006/relationships/hyperlink" Target="http://www.ircrating.org/technical-a-certification/measurement/14-technical/measurement/352-simple-sail-measurement-guides" TargetMode="External"/><Relationship Id="rId15" Type="http://schemas.openxmlformats.org/officeDocument/2006/relationships/vmlDrawing" Target="../drawings/vmlDrawing1.vml"/><Relationship Id="rId23" Type="http://schemas.openxmlformats.org/officeDocument/2006/relationships/ctrlProp" Target="../ctrlProps/ctrlProp8.xml"/><Relationship Id="rId28" Type="http://schemas.openxmlformats.org/officeDocument/2006/relationships/ctrlProp" Target="../ctrlProps/ctrlProp13.xml"/><Relationship Id="rId36" Type="http://schemas.openxmlformats.org/officeDocument/2006/relationships/ctrlProp" Target="../ctrlProps/ctrlProp21.xml"/><Relationship Id="rId49" Type="http://schemas.openxmlformats.org/officeDocument/2006/relationships/ctrlProp" Target="../ctrlProps/ctrlProp34.xml"/><Relationship Id="rId57" Type="http://schemas.openxmlformats.org/officeDocument/2006/relationships/ctrlProp" Target="../ctrlProps/ctrlProp42.xml"/><Relationship Id="rId61" Type="http://schemas.openxmlformats.org/officeDocument/2006/relationships/ctrlProp" Target="../ctrlProps/ctrlProp46.xml"/><Relationship Id="rId10" Type="http://schemas.openxmlformats.org/officeDocument/2006/relationships/hyperlink" Target="http://www.ircrating.org/" TargetMode="External"/><Relationship Id="rId19" Type="http://schemas.openxmlformats.org/officeDocument/2006/relationships/ctrlProp" Target="../ctrlProps/ctrlProp4.xml"/><Relationship Id="rId31" Type="http://schemas.openxmlformats.org/officeDocument/2006/relationships/ctrlProp" Target="../ctrlProps/ctrlProp16.xml"/><Relationship Id="rId44" Type="http://schemas.openxmlformats.org/officeDocument/2006/relationships/ctrlProp" Target="../ctrlProps/ctrlProp29.xml"/><Relationship Id="rId52" Type="http://schemas.openxmlformats.org/officeDocument/2006/relationships/ctrlProp" Target="../ctrlProps/ctrlProp37.xml"/><Relationship Id="rId60" Type="http://schemas.openxmlformats.org/officeDocument/2006/relationships/ctrlProp" Target="../ctrlProps/ctrlProp45.xml"/><Relationship Id="rId65" Type="http://schemas.openxmlformats.org/officeDocument/2006/relationships/ctrlProp" Target="../ctrlProps/ctrlProp50.xml"/><Relationship Id="rId4" Type="http://schemas.openxmlformats.org/officeDocument/2006/relationships/hyperlink" Target="http://www.ircrating.org/technical-a-certification/measurement/14-technical/measurement/36-measurement-drawings" TargetMode="External"/><Relationship Id="rId9" Type="http://schemas.openxmlformats.org/officeDocument/2006/relationships/hyperlink" Target="https://www.ircrating.org/technical-a-certification/standard-hull-data/15-technical/certification/537-irc-od" TargetMode="External"/><Relationship Id="rId14" Type="http://schemas.openxmlformats.org/officeDocument/2006/relationships/drawing" Target="../drawings/drawing1.xml"/><Relationship Id="rId22" Type="http://schemas.openxmlformats.org/officeDocument/2006/relationships/ctrlProp" Target="../ctrlProps/ctrlProp7.xml"/><Relationship Id="rId27" Type="http://schemas.openxmlformats.org/officeDocument/2006/relationships/ctrlProp" Target="../ctrlProps/ctrlProp12.xml"/><Relationship Id="rId30" Type="http://schemas.openxmlformats.org/officeDocument/2006/relationships/ctrlProp" Target="../ctrlProps/ctrlProp15.xml"/><Relationship Id="rId35" Type="http://schemas.openxmlformats.org/officeDocument/2006/relationships/ctrlProp" Target="../ctrlProps/ctrlProp20.xml"/><Relationship Id="rId43" Type="http://schemas.openxmlformats.org/officeDocument/2006/relationships/ctrlProp" Target="../ctrlProps/ctrlProp28.xml"/><Relationship Id="rId48" Type="http://schemas.openxmlformats.org/officeDocument/2006/relationships/ctrlProp" Target="../ctrlProps/ctrlProp33.xml"/><Relationship Id="rId56" Type="http://schemas.openxmlformats.org/officeDocument/2006/relationships/ctrlProp" Target="../ctrlProps/ctrlProp41.xml"/><Relationship Id="rId64" Type="http://schemas.openxmlformats.org/officeDocument/2006/relationships/ctrlProp" Target="../ctrlProps/ctrlProp49.xml"/><Relationship Id="rId8" Type="http://schemas.openxmlformats.org/officeDocument/2006/relationships/hyperlink" Target="https://www.ircrating.org/images/stories/pdf/measurement/aft-rigging-drawings-web.pdf" TargetMode="External"/><Relationship Id="rId51" Type="http://schemas.openxmlformats.org/officeDocument/2006/relationships/ctrlProp" Target="../ctrlProps/ctrlProp36.xml"/><Relationship Id="rId3" Type="http://schemas.openxmlformats.org/officeDocument/2006/relationships/hyperlink" Target="http://www.ircrating.org/technical-a-certification/measurement/14-technical/measurement/36-measurement-drawings" TargetMode="External"/><Relationship Id="rId12" Type="http://schemas.openxmlformats.org/officeDocument/2006/relationships/hyperlink" Target="http://www.ussailing.org/membership/" TargetMode="External"/><Relationship Id="rId17" Type="http://schemas.openxmlformats.org/officeDocument/2006/relationships/ctrlProp" Target="../ctrlProps/ctrlProp2.xml"/><Relationship Id="rId25" Type="http://schemas.openxmlformats.org/officeDocument/2006/relationships/ctrlProp" Target="../ctrlProps/ctrlProp10.xml"/><Relationship Id="rId33" Type="http://schemas.openxmlformats.org/officeDocument/2006/relationships/ctrlProp" Target="../ctrlProps/ctrlProp18.xml"/><Relationship Id="rId38" Type="http://schemas.openxmlformats.org/officeDocument/2006/relationships/ctrlProp" Target="../ctrlProps/ctrlProp23.xml"/><Relationship Id="rId46" Type="http://schemas.openxmlformats.org/officeDocument/2006/relationships/ctrlProp" Target="../ctrlProps/ctrlProp31.xml"/><Relationship Id="rId59" Type="http://schemas.openxmlformats.org/officeDocument/2006/relationships/ctrlProp" Target="../ctrlProps/ctrlProp44.xml"/><Relationship Id="rId67" Type="http://schemas.openxmlformats.org/officeDocument/2006/relationships/ctrlProp" Target="../ctrlProps/ctrlProp52.xml"/><Relationship Id="rId20" Type="http://schemas.openxmlformats.org/officeDocument/2006/relationships/ctrlProp" Target="../ctrlProps/ctrlProp5.xml"/><Relationship Id="rId41" Type="http://schemas.openxmlformats.org/officeDocument/2006/relationships/ctrlProp" Target="../ctrlProps/ctrlProp26.xml"/><Relationship Id="rId54" Type="http://schemas.openxmlformats.org/officeDocument/2006/relationships/ctrlProp" Target="../ctrlProps/ctrlProp39.xml"/><Relationship Id="rId62" Type="http://schemas.openxmlformats.org/officeDocument/2006/relationships/ctrlProp" Target="../ctrlProps/ctrlProp47.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06"/>
  <sheetViews>
    <sheetView showGridLines="0" tabSelected="1" zoomScaleNormal="100" workbookViewId="0">
      <selection activeCell="C12" sqref="C12:G12"/>
    </sheetView>
  </sheetViews>
  <sheetFormatPr defaultRowHeight="19.5" customHeight="1"/>
  <cols>
    <col min="1" max="1" width="7.5703125" style="173" bestFit="1" customWidth="1"/>
    <col min="2" max="2" width="26.28515625" style="145" customWidth="1"/>
    <col min="3" max="3" width="9.140625" style="145"/>
    <col min="4" max="4" width="8.85546875" style="145" customWidth="1"/>
    <col min="5" max="5" width="9.140625" style="145"/>
    <col min="6" max="6" width="9.7109375" style="145" customWidth="1"/>
    <col min="7" max="7" width="22.85546875" style="145" customWidth="1"/>
    <col min="8" max="8" width="46.42578125" style="145" customWidth="1"/>
    <col min="9" max="9" width="2.140625" style="145" customWidth="1"/>
    <col min="10" max="10" width="9.140625" style="146"/>
    <col min="11" max="14" width="9.140625" style="145"/>
    <col min="15" max="15" width="11.140625" style="145" customWidth="1"/>
    <col min="16" max="16" width="9.140625" style="145"/>
    <col min="17" max="17" width="9.140625" style="10"/>
    <col min="18" max="16384" width="9.140625" style="145"/>
  </cols>
  <sheetData>
    <row r="1" spans="1:18" ht="50.25" customHeight="1">
      <c r="A1" s="565"/>
      <c r="B1" s="807" t="s">
        <v>4825</v>
      </c>
      <c r="C1" s="808"/>
      <c r="D1" s="808"/>
      <c r="E1" s="808"/>
      <c r="F1" s="808"/>
      <c r="G1" s="537">
        <v>2018</v>
      </c>
      <c r="H1" s="173" t="s">
        <v>925</v>
      </c>
      <c r="J1" s="797" t="s">
        <v>4824</v>
      </c>
      <c r="K1" s="797"/>
      <c r="L1" s="461"/>
    </row>
    <row r="2" spans="1:18" ht="19.5" customHeight="1">
      <c r="A2" s="486"/>
      <c r="B2" s="10"/>
      <c r="C2" s="745"/>
      <c r="D2" s="745"/>
      <c r="E2" s="745"/>
      <c r="F2" s="745"/>
      <c r="G2" s="745"/>
      <c r="H2" s="272"/>
      <c r="I2" s="148"/>
      <c r="L2" s="461"/>
    </row>
    <row r="3" spans="1:18" ht="19.5" customHeight="1">
      <c r="A3" s="486"/>
      <c r="B3" s="10"/>
      <c r="C3" s="745" t="str">
        <f>'Lang Header'!F1</f>
        <v>Please select language:</v>
      </c>
      <c r="D3" s="745"/>
      <c r="E3" s="745"/>
      <c r="F3" s="745"/>
      <c r="G3" s="486"/>
      <c r="H3" s="152"/>
      <c r="L3" s="461"/>
      <c r="P3" s="115"/>
      <c r="Q3" s="118"/>
    </row>
    <row r="4" spans="1:18" ht="19.5" customHeight="1">
      <c r="A4" s="486"/>
      <c r="B4" s="829"/>
      <c r="C4" s="829"/>
      <c r="D4" s="829"/>
      <c r="E4" s="829"/>
      <c r="F4" s="829"/>
      <c r="G4" s="829"/>
      <c r="H4" s="534"/>
      <c r="P4" s="113"/>
      <c r="Q4" s="116"/>
      <c r="R4" s="113"/>
    </row>
    <row r="5" spans="1:18" ht="19.5" customHeight="1">
      <c r="A5" s="486"/>
      <c r="B5" s="487"/>
      <c r="C5" s="487"/>
      <c r="D5" s="487"/>
      <c r="E5" s="487"/>
      <c r="F5" s="487"/>
      <c r="G5" s="487"/>
      <c r="H5" s="534"/>
      <c r="P5" s="113"/>
      <c r="Q5" s="116"/>
      <c r="R5" s="113"/>
    </row>
    <row r="6" spans="1:18" ht="19.5" customHeight="1">
      <c r="A6" s="566"/>
      <c r="B6" s="879" t="str">
        <f>'Lang Header'!G12</f>
        <v>PLEASE READ NOTES AT RIGHT!</v>
      </c>
      <c r="C6" s="879"/>
      <c r="D6" s="879"/>
      <c r="E6" s="879"/>
      <c r="F6" s="879"/>
      <c r="G6" s="879"/>
      <c r="H6" s="422" t="s">
        <v>4398</v>
      </c>
      <c r="P6" s="113"/>
      <c r="Q6" s="116"/>
      <c r="R6" s="113"/>
    </row>
    <row r="7" spans="1:18" ht="19.5" customHeight="1">
      <c r="A7" s="486"/>
      <c r="B7" s="816" t="str">
        <f>'Lang Header'!P1</f>
        <v>See IRC website for rules and other technical information, before completing this form</v>
      </c>
      <c r="C7" s="816"/>
      <c r="D7" s="816"/>
      <c r="E7" s="816"/>
      <c r="F7" s="816"/>
      <c r="G7" s="816"/>
      <c r="H7" s="535" t="str">
        <f>'Lang Header'!J12</f>
        <v>Measurement Definitions</v>
      </c>
      <c r="P7" s="113"/>
      <c r="Q7" s="116"/>
    </row>
    <row r="8" spans="1:18" ht="19.5" customHeight="1">
      <c r="A8" s="486"/>
      <c r="B8" s="890" t="s">
        <v>3867</v>
      </c>
      <c r="C8" s="890"/>
      <c r="D8" s="890"/>
      <c r="E8" s="890"/>
      <c r="F8" s="890"/>
      <c r="G8" s="890"/>
      <c r="H8" s="535" t="str">
        <f>'Lang Header'!K12</f>
        <v>IRC Rule text</v>
      </c>
      <c r="P8" s="114"/>
      <c r="Q8" s="117"/>
      <c r="R8" s="113"/>
    </row>
    <row r="9" spans="1:18" ht="9" customHeight="1">
      <c r="A9" s="486"/>
      <c r="B9" s="533"/>
      <c r="C9" s="533"/>
      <c r="D9" s="533"/>
      <c r="E9" s="533"/>
      <c r="F9" s="533"/>
      <c r="G9" s="533"/>
      <c r="H9" s="535"/>
      <c r="P9" s="114"/>
      <c r="Q9" s="117"/>
      <c r="R9" s="113"/>
    </row>
    <row r="10" spans="1:18" ht="18">
      <c r="A10" s="486"/>
      <c r="B10" s="827" t="str">
        <f>'Lang Boat'!D1</f>
        <v>PART 1 - ALL BOATS</v>
      </c>
      <c r="C10" s="827"/>
      <c r="D10" s="827"/>
      <c r="E10" s="827"/>
      <c r="F10" s="827"/>
      <c r="G10" s="827"/>
      <c r="H10" s="536"/>
      <c r="J10" s="811"/>
      <c r="K10" s="812"/>
      <c r="L10" s="812"/>
      <c r="M10" s="812"/>
      <c r="N10" s="812"/>
      <c r="O10" s="812"/>
      <c r="P10" s="114"/>
      <c r="Q10" s="117"/>
      <c r="R10" s="113"/>
    </row>
    <row r="11" spans="1:18" ht="9" customHeight="1">
      <c r="A11" s="626"/>
      <c r="B11" s="506"/>
      <c r="C11" s="507"/>
      <c r="D11" s="507"/>
      <c r="E11" s="507"/>
      <c r="F11" s="507"/>
      <c r="G11" s="507"/>
      <c r="H11" s="536"/>
      <c r="J11" s="119"/>
      <c r="K11" s="511"/>
      <c r="L11" s="511"/>
      <c r="M11" s="511"/>
      <c r="N11" s="511"/>
      <c r="O11" s="511"/>
      <c r="P11" s="114"/>
      <c r="Q11" s="117"/>
      <c r="R11" s="113"/>
    </row>
    <row r="12" spans="1:18" ht="15" customHeight="1">
      <c r="A12" s="626"/>
      <c r="B12" s="621" t="str">
        <f>'Lang Boat'!G1</f>
        <v>Boat Name</v>
      </c>
      <c r="C12" s="806"/>
      <c r="D12" s="806"/>
      <c r="E12" s="806"/>
      <c r="F12" s="806"/>
      <c r="G12" s="806"/>
      <c r="H12" s="10"/>
      <c r="J12" s="816"/>
      <c r="K12" s="817"/>
      <c r="L12" s="817"/>
      <c r="M12" s="817"/>
      <c r="N12" s="817"/>
      <c r="O12" s="817"/>
      <c r="P12" s="114"/>
      <c r="Q12" s="117"/>
      <c r="R12" s="113"/>
    </row>
    <row r="13" spans="1:18" ht="15" customHeight="1">
      <c r="A13" s="626"/>
      <c r="B13" s="621" t="str">
        <f>'Lang Boat'!H1</f>
        <v>Sail number</v>
      </c>
      <c r="C13" s="809"/>
      <c r="D13" s="810"/>
      <c r="E13" s="824" t="str">
        <f>'Lang Boat'!U1</f>
        <v>FULL sail no: letters &amp; numbers without spaces</v>
      </c>
      <c r="F13" s="825"/>
      <c r="G13" s="825"/>
      <c r="H13" s="150"/>
      <c r="J13" s="817"/>
      <c r="K13" s="817"/>
      <c r="L13" s="817"/>
      <c r="M13" s="817"/>
      <c r="N13" s="817"/>
      <c r="O13" s="817"/>
      <c r="P13" s="114"/>
      <c r="Q13" s="117"/>
      <c r="R13" s="113"/>
    </row>
    <row r="14" spans="1:18" ht="15" customHeight="1">
      <c r="A14" s="626"/>
      <c r="B14" s="422" t="str">
        <f>'Lang Boat'!R1</f>
        <v>Age date</v>
      </c>
      <c r="C14" s="264"/>
      <c r="D14" s="493" t="str">
        <f>'Lang Boat'!Q1</f>
        <v>(YYYY)</v>
      </c>
      <c r="E14" s="150" t="str">
        <f>'Lang Boat'!W1</f>
        <v>Year boat first launched in current form</v>
      </c>
      <c r="F14" s="10"/>
      <c r="G14" s="150"/>
      <c r="I14" s="150"/>
      <c r="J14" s="384"/>
      <c r="K14" s="121"/>
      <c r="L14" s="121"/>
      <c r="M14" s="121"/>
      <c r="N14" s="121"/>
      <c r="O14" s="121"/>
      <c r="P14" s="113"/>
      <c r="Q14" s="116"/>
    </row>
    <row r="15" spans="1:18" ht="15" customHeight="1">
      <c r="A15" s="626"/>
      <c r="B15" s="622" t="str">
        <f>'Lang Boat'!K1</f>
        <v>Previous certificate number</v>
      </c>
      <c r="C15" s="538"/>
      <c r="D15" s="14" t="str">
        <f>'Lang Boat'!J1</f>
        <v>If the boat held a previous IRC or CHS Certificate</v>
      </c>
      <c r="F15" s="14"/>
      <c r="G15" s="14"/>
      <c r="I15" s="150"/>
      <c r="J15" s="828"/>
      <c r="K15" s="828"/>
      <c r="L15" s="828"/>
      <c r="M15" s="828"/>
      <c r="N15" s="828"/>
      <c r="O15" s="828"/>
      <c r="P15" s="113"/>
      <c r="Q15" s="116"/>
    </row>
    <row r="16" spans="1:18" ht="9" customHeight="1">
      <c r="A16" s="539"/>
      <c r="B16" s="622"/>
      <c r="C16" s="623"/>
      <c r="D16" s="14"/>
      <c r="F16" s="14"/>
      <c r="G16" s="14"/>
      <c r="I16" s="150"/>
      <c r="J16" s="828"/>
      <c r="K16" s="828"/>
      <c r="L16" s="828"/>
      <c r="M16" s="828"/>
      <c r="N16" s="828"/>
      <c r="O16" s="828"/>
      <c r="P16" s="113"/>
      <c r="Q16" s="116"/>
    </row>
    <row r="17" spans="1:18" ht="17.25" customHeight="1">
      <c r="A17" s="487" t="s">
        <v>4660</v>
      </c>
      <c r="B17" s="763" t="str">
        <f>'Lang Boat'!D11</f>
        <v>DESIGN and STANDARD HULLS</v>
      </c>
      <c r="C17" s="763"/>
      <c r="D17" s="763"/>
      <c r="E17" s="763"/>
      <c r="F17" s="763"/>
      <c r="G17" s="763"/>
      <c r="H17" s="150"/>
      <c r="J17" s="828"/>
      <c r="K17" s="828"/>
      <c r="L17" s="828"/>
      <c r="M17" s="828"/>
      <c r="N17" s="828"/>
      <c r="O17" s="828"/>
      <c r="P17" s="114"/>
      <c r="Q17" s="117"/>
      <c r="R17" s="113"/>
    </row>
    <row r="18" spans="1:18" ht="12.75">
      <c r="A18" s="487" t="s">
        <v>4674</v>
      </c>
      <c r="B18" s="800" t="str">
        <f>'Lang Hull'!D1</f>
        <v>Production boat? See Green tab below for information about standard hull data</v>
      </c>
      <c r="C18" s="800"/>
      <c r="D18" s="800"/>
      <c r="E18" s="800"/>
      <c r="F18" s="800"/>
      <c r="G18" s="800"/>
      <c r="I18" s="150"/>
      <c r="J18" s="828"/>
      <c r="K18" s="828"/>
      <c r="L18" s="828"/>
      <c r="M18" s="828"/>
      <c r="N18" s="828"/>
      <c r="O18" s="828"/>
      <c r="P18" s="113"/>
      <c r="Q18" s="116"/>
    </row>
    <row r="19" spans="1:18" ht="12.75" customHeight="1">
      <c r="A19" s="626"/>
      <c r="B19" s="774" t="str">
        <f>'Lang Boat'!E11</f>
        <v>These designs may use use simplied form</v>
      </c>
      <c r="C19" s="774"/>
      <c r="D19" s="774"/>
      <c r="E19" s="774"/>
      <c r="F19" s="774"/>
      <c r="G19" s="774"/>
      <c r="I19" s="10"/>
      <c r="J19" s="828"/>
      <c r="K19" s="828"/>
      <c r="L19" s="828"/>
      <c r="M19" s="828"/>
      <c r="N19" s="828"/>
      <c r="O19" s="828"/>
      <c r="P19" s="113"/>
      <c r="Q19" s="116"/>
    </row>
    <row r="20" spans="1:18" ht="12.75" customHeight="1">
      <c r="A20" s="626"/>
      <c r="B20" s="732"/>
      <c r="C20" s="732"/>
      <c r="D20" s="732"/>
      <c r="E20" s="732"/>
      <c r="F20" s="732"/>
      <c r="G20" s="732"/>
      <c r="I20" s="10"/>
      <c r="J20" s="485"/>
      <c r="K20" s="485"/>
      <c r="L20" s="485"/>
      <c r="M20" s="485"/>
      <c r="N20" s="485"/>
      <c r="O20" s="485"/>
      <c r="P20" s="113"/>
      <c r="Q20" s="116"/>
    </row>
    <row r="21" spans="1:18" ht="15" customHeight="1">
      <c r="A21" s="626"/>
      <c r="B21" s="775" t="str">
        <f>'Lang Hull'!K38</f>
        <v>Please check the lists below to see if standard hull data is available:</v>
      </c>
      <c r="C21" s="775"/>
      <c r="D21" s="775"/>
      <c r="E21" s="775"/>
      <c r="F21" s="775"/>
      <c r="G21" s="775"/>
      <c r="I21" s="10"/>
      <c r="J21" s="485"/>
      <c r="K21" s="483"/>
      <c r="L21" s="483"/>
      <c r="M21" s="483"/>
      <c r="N21" s="483"/>
      <c r="O21" s="483"/>
      <c r="P21" s="113"/>
      <c r="Q21" s="116"/>
    </row>
    <row r="22" spans="1:18" ht="25.5" customHeight="1">
      <c r="A22" s="626"/>
      <c r="B22" s="892" t="str">
        <f>'Lang Hull'!N38</f>
        <v>Select Builder/Designer, first click in box below:</v>
      </c>
      <c r="C22" s="892"/>
      <c r="D22" s="892"/>
      <c r="E22" s="892"/>
      <c r="F22" s="892"/>
      <c r="G22" s="892"/>
      <c r="H22" s="826" t="str">
        <f>'Lang Hull'!M38</f>
        <v>If your design is not included but you think it should be, please contact your Rule Authority</v>
      </c>
      <c r="I22" s="826"/>
      <c r="J22" s="826"/>
      <c r="K22" s="826"/>
      <c r="L22" s="483"/>
      <c r="M22" s="483"/>
      <c r="N22" s="483"/>
      <c r="O22" s="483"/>
      <c r="P22" s="113"/>
      <c r="Q22" s="116"/>
    </row>
    <row r="23" spans="1:18" ht="17.25" customHeight="1">
      <c r="A23" s="626"/>
      <c r="B23" s="893" t="s">
        <v>1492</v>
      </c>
      <c r="C23" s="894"/>
      <c r="D23" s="894"/>
      <c r="E23" s="895"/>
      <c r="H23" s="542"/>
      <c r="J23" s="485"/>
      <c r="K23" s="483"/>
      <c r="L23" s="483"/>
      <c r="M23" s="483"/>
      <c r="N23" s="483"/>
      <c r="O23" s="483"/>
      <c r="P23" s="113"/>
      <c r="Q23" s="116"/>
    </row>
    <row r="24" spans="1:18" ht="17.25" customHeight="1">
      <c r="A24" s="626"/>
      <c r="B24" s="892" t="str">
        <f>'Lang Hull'!O38</f>
        <v>Now select boat model/draft, first click in box below:</v>
      </c>
      <c r="C24" s="892"/>
      <c r="D24" s="892"/>
      <c r="E24" s="892"/>
      <c r="F24" s="892"/>
      <c r="G24" s="892"/>
      <c r="H24" s="542"/>
      <c r="J24" s="485"/>
      <c r="K24" s="483"/>
      <c r="L24" s="483"/>
      <c r="M24" s="483"/>
      <c r="N24" s="483"/>
      <c r="O24" s="483"/>
      <c r="P24" s="113"/>
      <c r="Q24" s="116"/>
    </row>
    <row r="25" spans="1:18" ht="17.25" customHeight="1">
      <c r="A25" s="626"/>
      <c r="B25" s="818"/>
      <c r="C25" s="819"/>
      <c r="D25" s="819"/>
      <c r="E25" s="820"/>
      <c r="F25" s="543"/>
      <c r="G25" s="542"/>
      <c r="I25" s="485"/>
      <c r="J25" s="483"/>
      <c r="K25" s="483"/>
      <c r="L25" s="483"/>
      <c r="M25" s="483"/>
      <c r="N25" s="483"/>
      <c r="O25" s="113"/>
      <c r="P25" s="116"/>
      <c r="Q25" s="145"/>
    </row>
    <row r="26" spans="1:18" ht="12.75" customHeight="1">
      <c r="A26" s="626"/>
      <c r="B26" s="801" t="str">
        <f>'Lang Hull'!P38</f>
        <v>If the design is included: Would you like us to use STANDARD HULL DATA for your rating?</v>
      </c>
      <c r="C26" s="801"/>
      <c r="D26" s="801"/>
      <c r="E26" s="801"/>
      <c r="F26" s="801"/>
      <c r="G26" s="545"/>
      <c r="J26" s="483"/>
      <c r="K26" s="483"/>
      <c r="L26" s="483"/>
      <c r="M26" s="483"/>
      <c r="N26" s="483"/>
      <c r="O26" s="483"/>
    </row>
    <row r="27" spans="1:18" ht="24.75" customHeight="1">
      <c r="A27" s="486">
        <v>13.5</v>
      </c>
      <c r="B27" s="801"/>
      <c r="C27" s="801"/>
      <c r="D27" s="801"/>
      <c r="E27" s="801"/>
      <c r="F27" s="801"/>
      <c r="G27" s="486"/>
      <c r="J27" s="821"/>
      <c r="K27" s="822"/>
      <c r="L27" s="822"/>
      <c r="M27" s="822"/>
      <c r="N27" s="822"/>
      <c r="O27" s="822"/>
    </row>
    <row r="28" spans="1:18" ht="17.25" customHeight="1">
      <c r="A28" s="626"/>
      <c r="B28" s="493" t="str">
        <f>'Lang Hull'!Q38</f>
        <v>If YES: You do not need to complete the cells shaded grey below. Please give all other information.</v>
      </c>
      <c r="C28" s="482"/>
      <c r="D28" s="482"/>
      <c r="E28" s="482"/>
      <c r="F28" s="482"/>
      <c r="G28" s="482"/>
      <c r="J28" s="822"/>
      <c r="K28" s="822"/>
      <c r="L28" s="822"/>
      <c r="M28" s="822"/>
      <c r="N28" s="822"/>
      <c r="O28" s="822"/>
    </row>
    <row r="29" spans="1:18" ht="17.25" customHeight="1">
      <c r="A29" s="626"/>
      <c r="B29" s="860" t="str">
        <f>'Lang Hull'!R38</f>
        <v>If NO: Please complete the form as normal. If you want standard data used for some hull measurements, please state "use standard" in the relevant 'Source of Information' box</v>
      </c>
      <c r="C29" s="860"/>
      <c r="D29" s="860"/>
      <c r="E29" s="860"/>
      <c r="F29" s="860"/>
      <c r="G29" s="860"/>
      <c r="J29" s="823"/>
      <c r="K29" s="822"/>
      <c r="L29" s="822"/>
      <c r="M29" s="822"/>
      <c r="N29" s="822"/>
      <c r="O29" s="822"/>
    </row>
    <row r="30" spans="1:18" ht="17.25" customHeight="1">
      <c r="A30" s="626"/>
      <c r="B30" s="860"/>
      <c r="C30" s="860"/>
      <c r="D30" s="860"/>
      <c r="E30" s="860"/>
      <c r="F30" s="860"/>
      <c r="G30" s="860"/>
      <c r="H30" s="152"/>
      <c r="I30" s="152"/>
      <c r="J30" s="822"/>
      <c r="K30" s="822"/>
      <c r="L30" s="822"/>
      <c r="M30" s="822"/>
      <c r="N30" s="822"/>
      <c r="O30" s="822"/>
    </row>
    <row r="31" spans="1:18" ht="27" customHeight="1">
      <c r="A31" s="773"/>
      <c r="B31" s="801" t="str">
        <f>'Lang Boat'!X1</f>
        <v>If your boat's design is not in the lists above, please give Design Class and details here:</v>
      </c>
      <c r="C31" s="801"/>
      <c r="D31" s="801"/>
      <c r="E31" s="801"/>
      <c r="F31" s="801"/>
      <c r="G31" s="801"/>
      <c r="H31" s="150"/>
      <c r="J31" s="822"/>
      <c r="K31" s="822"/>
      <c r="L31" s="822"/>
      <c r="M31" s="822"/>
      <c r="N31" s="822"/>
      <c r="O31" s="822"/>
      <c r="P31" s="114"/>
      <c r="Q31" s="117"/>
      <c r="R31" s="113"/>
    </row>
    <row r="32" spans="1:18" ht="15" customHeight="1">
      <c r="A32" s="773"/>
      <c r="B32" s="531" t="str">
        <f>'Lang Boat'!L1</f>
        <v>Design Class</v>
      </c>
      <c r="C32" s="896" t="str">
        <f>IF('Std hull dropdown'!C1520=0,"",'Std hull dropdown'!C1520)</f>
        <v/>
      </c>
      <c r="D32" s="897"/>
      <c r="E32" s="897"/>
      <c r="F32" s="897"/>
      <c r="G32" s="547" t="str">
        <f>'Lang Header'!M12</f>
        <v>eg.First 40, J97, Half Ton</v>
      </c>
      <c r="H32" s="546"/>
      <c r="I32" s="10"/>
      <c r="J32" s="485"/>
      <c r="K32" s="483"/>
      <c r="L32" s="483"/>
      <c r="M32" s="483"/>
      <c r="N32" s="483"/>
      <c r="O32" s="483"/>
      <c r="P32" s="114"/>
      <c r="Q32" s="117"/>
      <c r="R32" s="113"/>
    </row>
    <row r="33" spans="1:18" ht="15" customHeight="1">
      <c r="A33" s="773"/>
      <c r="B33" s="493" t="str">
        <f>'Lang Boat'!M1</f>
        <v>Version</v>
      </c>
      <c r="C33" s="803"/>
      <c r="D33" s="804"/>
      <c r="E33" s="805"/>
      <c r="F33" s="882" t="str">
        <f>'Lang Header'!N12</f>
        <v>eg. Custom, wing keel, tall rig</v>
      </c>
      <c r="G33" s="883"/>
      <c r="H33" s="883"/>
      <c r="I33" s="150"/>
      <c r="J33" s="483"/>
      <c r="K33" s="483"/>
      <c r="L33" s="483"/>
      <c r="M33" s="483"/>
      <c r="N33" s="483"/>
      <c r="O33" s="483"/>
      <c r="P33" s="114"/>
      <c r="Q33" s="117"/>
      <c r="R33" s="113"/>
    </row>
    <row r="34" spans="1:18" ht="15" customHeight="1">
      <c r="A34" s="773"/>
      <c r="B34" s="548" t="str">
        <f>'Lang Boat'!N1</f>
        <v>Hull No.</v>
      </c>
      <c r="C34" s="813"/>
      <c r="D34" s="814"/>
      <c r="E34" s="815"/>
      <c r="F34" s="494"/>
      <c r="G34" s="733"/>
      <c r="H34" s="150"/>
      <c r="I34" s="150"/>
      <c r="J34" s="169"/>
      <c r="K34" s="573"/>
      <c r="L34" s="573"/>
      <c r="M34" s="573"/>
      <c r="N34" s="573"/>
      <c r="O34" s="573"/>
      <c r="P34" s="114"/>
      <c r="Q34" s="117"/>
      <c r="R34" s="113"/>
    </row>
    <row r="35" spans="1:18" ht="15" customHeight="1">
      <c r="A35" s="773"/>
      <c r="B35" s="549" t="str">
        <f>'Lang Boat'!S1</f>
        <v>Designer</v>
      </c>
      <c r="C35" s="793"/>
      <c r="D35" s="793"/>
      <c r="E35" s="793"/>
      <c r="F35" s="793"/>
      <c r="G35" s="793"/>
      <c r="H35" s="150"/>
      <c r="I35" s="150"/>
      <c r="J35" s="573"/>
      <c r="K35" s="573"/>
      <c r="L35" s="573"/>
      <c r="M35" s="573"/>
      <c r="N35" s="573"/>
      <c r="O35" s="573"/>
      <c r="P35" s="113"/>
      <c r="Q35" s="116"/>
    </row>
    <row r="36" spans="1:18" ht="15" customHeight="1">
      <c r="A36" s="773"/>
      <c r="B36" s="548" t="str">
        <f>'Lang Boat'!T1</f>
        <v>Builder</v>
      </c>
      <c r="C36" s="793"/>
      <c r="D36" s="793"/>
      <c r="E36" s="793"/>
      <c r="F36" s="793"/>
      <c r="G36" s="793"/>
      <c r="H36" s="150"/>
      <c r="I36" s="150"/>
      <c r="J36" s="573"/>
      <c r="K36" s="573"/>
      <c r="L36" s="573"/>
      <c r="M36" s="573"/>
      <c r="N36" s="573"/>
      <c r="O36" s="573"/>
      <c r="P36" s="113"/>
      <c r="Q36" s="116"/>
    </row>
    <row r="37" spans="1:18" ht="15" customHeight="1">
      <c r="A37" s="773"/>
      <c r="B37" s="493" t="str">
        <f>'Lang Boat'!P1</f>
        <v>Series date</v>
      </c>
      <c r="C37" s="265"/>
      <c r="D37" s="145" t="str">
        <f>'Lang Boat'!Q1</f>
        <v>(YYYY)</v>
      </c>
      <c r="E37" s="150" t="str">
        <f>'Lang Boat'!V1</f>
        <v>Year first boat of design launched</v>
      </c>
      <c r="F37" s="150"/>
      <c r="G37" s="150"/>
      <c r="H37" s="286"/>
      <c r="I37" s="150"/>
      <c r="J37" s="169"/>
      <c r="K37" s="10"/>
      <c r="L37" s="10"/>
      <c r="M37" s="10"/>
      <c r="N37" s="10"/>
      <c r="O37" s="10"/>
      <c r="P37" s="113"/>
      <c r="Q37" s="116"/>
      <c r="R37" s="113"/>
    </row>
    <row r="38" spans="1:18" ht="10.5" customHeight="1">
      <c r="A38" s="567"/>
      <c r="B38" s="152"/>
      <c r="C38" s="152"/>
      <c r="D38" s="152"/>
      <c r="E38" s="152"/>
      <c r="F38" s="152"/>
      <c r="G38" s="152"/>
      <c r="H38" s="152"/>
      <c r="I38" s="150"/>
      <c r="J38" s="10"/>
      <c r="K38" s="10"/>
      <c r="L38" s="10"/>
      <c r="M38" s="10"/>
      <c r="N38" s="10"/>
      <c r="O38" s="10"/>
      <c r="P38" s="113"/>
      <c r="Q38" s="116"/>
    </row>
    <row r="39" spans="1:18" ht="15.75">
      <c r="A39" s="487" t="s">
        <v>4660</v>
      </c>
      <c r="B39" s="763" t="str">
        <f>'Lang Hull'!U1</f>
        <v>HULL and APPENDAGES</v>
      </c>
      <c r="C39" s="763"/>
      <c r="D39" s="763"/>
      <c r="E39" s="763"/>
      <c r="F39" s="763"/>
      <c r="G39" s="763"/>
      <c r="H39" s="286"/>
      <c r="I39" s="150"/>
      <c r="J39" s="145"/>
      <c r="P39" s="113"/>
      <c r="Q39" s="116"/>
    </row>
    <row r="40" spans="1:18" ht="19.5" customHeight="1">
      <c r="A40" s="487" t="s">
        <v>4674</v>
      </c>
      <c r="B40" s="802" t="str">
        <f>IF(C372=2,'Lang Hull'!J48,'Lang Hull'!K48)</f>
        <v>NOT Standard Hull: Please complete Hull data</v>
      </c>
      <c r="C40" s="802"/>
      <c r="D40" s="802"/>
      <c r="E40" s="802"/>
      <c r="F40" s="802"/>
      <c r="G40" s="802"/>
      <c r="J40" s="145"/>
    </row>
    <row r="41" spans="1:18" ht="17.25" customHeight="1">
      <c r="B41" s="150" t="str">
        <f>'Lang Hull'!D15</f>
        <v>METRES or KILOGRAMMES</v>
      </c>
      <c r="C41" s="777" t="str">
        <f>'Lang Hull'!E15</f>
        <v>DO NOT ENTER "m" OR "kg"!</v>
      </c>
      <c r="D41" s="777"/>
      <c r="E41" s="777"/>
      <c r="F41" s="798" t="str">
        <f>'Lang Hull'!F15</f>
        <v>Source of information</v>
      </c>
      <c r="G41" s="799"/>
      <c r="J41" s="145"/>
    </row>
    <row r="42" spans="1:18" ht="30" customHeight="1">
      <c r="B42" s="150"/>
      <c r="C42" s="150"/>
      <c r="D42" s="150"/>
      <c r="E42" s="150"/>
      <c r="F42" s="887" t="str">
        <f>'Lang Hull'!G15</f>
        <v>Required. Eg. owner, measurer (name)</v>
      </c>
      <c r="G42" s="888"/>
      <c r="J42" s="145"/>
    </row>
    <row r="43" spans="1:18" ht="17.25" customHeight="1">
      <c r="A43" s="486"/>
      <c r="B43" s="150" t="str">
        <f>'Lang Hull'!H15</f>
        <v>Hull Length</v>
      </c>
      <c r="C43" s="486" t="s">
        <v>3311</v>
      </c>
      <c r="D43" s="627">
        <f>IF('Std hull dropdown'!C1520=0,0,VLOOKUP('Std hull dropdown'!$C$1520,'Std hull dropdown'!$C$4:$D$1515,2,FALSE))</f>
        <v>0</v>
      </c>
      <c r="E43" s="508"/>
      <c r="F43" s="783"/>
      <c r="G43" s="783"/>
      <c r="H43" s="276" t="str">
        <f>'Lang Header'!L12</f>
        <v xml:space="preserve">Measurement drawings </v>
      </c>
      <c r="J43" s="145"/>
    </row>
    <row r="44" spans="1:18" ht="17.25" customHeight="1">
      <c r="A44" s="486">
        <v>18</v>
      </c>
      <c r="B44" s="150" t="str">
        <f>'Lang Hull'!I15</f>
        <v>Bow &amp; stern overhangs</v>
      </c>
      <c r="C44" s="486" t="s">
        <v>3906</v>
      </c>
      <c r="D44" s="627"/>
      <c r="E44" s="150"/>
      <c r="F44" s="783" t="str">
        <f>IF($C$372=2,"Std Hull Data","")</f>
        <v/>
      </c>
      <c r="G44" s="783"/>
      <c r="H44" s="258"/>
      <c r="J44" s="145"/>
    </row>
    <row r="45" spans="1:18" ht="17.25" customHeight="1">
      <c r="A45" s="486"/>
      <c r="B45" s="496" t="str">
        <f>'Lang Hull'!J15</f>
        <v>x &amp; h - input 0.00 if no flying bow</v>
      </c>
      <c r="C45" s="486" t="s">
        <v>3909</v>
      </c>
      <c r="D45" s="627"/>
      <c r="E45" s="150"/>
      <c r="F45" s="783" t="str">
        <f>IF($C$372=2,"Std Hull Data","")</f>
        <v/>
      </c>
      <c r="G45" s="783"/>
      <c r="J45" s="145"/>
    </row>
    <row r="46" spans="1:18" ht="17.25" customHeight="1">
      <c r="A46" s="486"/>
      <c r="B46" s="152"/>
      <c r="C46" s="486" t="s">
        <v>3912</v>
      </c>
      <c r="D46" s="627"/>
      <c r="E46" s="497"/>
      <c r="F46" s="783" t="str">
        <f>IF($C$372=2,"Std Hull Data","")</f>
        <v/>
      </c>
      <c r="G46" s="783"/>
      <c r="J46" s="145"/>
    </row>
    <row r="47" spans="1:18" ht="17.25" customHeight="1">
      <c r="A47" s="486"/>
      <c r="B47" s="490"/>
      <c r="C47" s="147" t="s">
        <v>3907</v>
      </c>
      <c r="D47" s="627"/>
      <c r="E47" s="497"/>
      <c r="F47" s="783" t="str">
        <f>IF($C$372=2,"Std Hull Data","")</f>
        <v/>
      </c>
      <c r="G47" s="783"/>
      <c r="J47" s="145"/>
    </row>
    <row r="48" spans="1:18" ht="17.25" customHeight="1">
      <c r="A48" s="486"/>
      <c r="B48" s="490"/>
      <c r="C48" s="147" t="s">
        <v>3910</v>
      </c>
      <c r="D48" s="628"/>
      <c r="E48" s="498" t="str">
        <f>'Lang Hull'!K15</f>
        <v>y is always required</v>
      </c>
      <c r="F48" s="499"/>
      <c r="G48" s="481" t="str">
        <f>IF($C$372=2,"Std Hull Data","")</f>
        <v/>
      </c>
      <c r="H48" s="280"/>
      <c r="J48" s="145"/>
    </row>
    <row r="49" spans="1:17" ht="17.25" customHeight="1">
      <c r="A49" s="486"/>
      <c r="B49" s="150" t="str">
        <f>'Lang Hull'!L15</f>
        <v>Waterline length</v>
      </c>
      <c r="C49" s="486" t="s">
        <v>3914</v>
      </c>
      <c r="D49" s="500">
        <f>D43-D44-D47</f>
        <v>0</v>
      </c>
      <c r="E49" s="777" t="str">
        <f>'Lang Hull'!M15</f>
        <v>calculated from LH-BO-SO</v>
      </c>
      <c r="F49" s="777"/>
      <c r="G49" s="777"/>
      <c r="H49" s="10"/>
      <c r="J49" s="145"/>
    </row>
    <row r="50" spans="1:17" ht="17.25" customHeight="1">
      <c r="A50" s="486">
        <v>17</v>
      </c>
      <c r="B50" s="150" t="str">
        <f>'Lang Hull'!P15</f>
        <v>Boat weight (kg)</v>
      </c>
      <c r="C50" s="486" t="str">
        <f>'Lang Hull'!N15</f>
        <v>Weight</v>
      </c>
      <c r="D50" s="629"/>
      <c r="E50" s="150" t="s">
        <v>726</v>
      </c>
      <c r="F50" s="783" t="str">
        <f>IF($C$372=2,"Std Hull Data","")</f>
        <v/>
      </c>
      <c r="G50" s="783"/>
      <c r="H50" s="10"/>
      <c r="J50" s="145"/>
    </row>
    <row r="51" spans="1:17" ht="17.25" customHeight="1">
      <c r="A51" s="486"/>
      <c r="B51" s="266" t="str">
        <f>'Lang Hull'!Q15</f>
        <v>OR sailing displacement (kg)</v>
      </c>
      <c r="C51" s="501" t="str">
        <f>'Lang Hull'!O15</f>
        <v>Disp</v>
      </c>
      <c r="D51" s="630"/>
      <c r="E51" s="266" t="str">
        <f>'Lang Hull'!R15</f>
        <v>if no empty wt available</v>
      </c>
      <c r="F51" s="150"/>
      <c r="G51" s="481" t="str">
        <f>IF($C$372=2,"Std Hull Data","")</f>
        <v/>
      </c>
      <c r="H51" s="10"/>
      <c r="J51" s="145"/>
    </row>
    <row r="52" spans="1:17" ht="17.25" customHeight="1">
      <c r="A52" s="486"/>
      <c r="B52" s="493" t="str">
        <f>'Lang Hull'!N28</f>
        <v>Bulb Weight</v>
      </c>
      <c r="C52" s="502" t="s">
        <v>4446</v>
      </c>
      <c r="D52" s="631"/>
      <c r="E52" s="12" t="str">
        <f>'Lang Hull'!O28</f>
        <v>kg. NOT keel weight</v>
      </c>
      <c r="F52" s="11"/>
      <c r="G52" s="463"/>
      <c r="H52" s="10"/>
      <c r="J52" s="145"/>
    </row>
    <row r="53" spans="1:17" ht="21" customHeight="1">
      <c r="A53" s="486"/>
      <c r="B53" s="150" t="str">
        <f>'Lang Hull'!S15</f>
        <v>Is any internal ballast fitted?</v>
      </c>
      <c r="C53" s="150"/>
      <c r="D53" s="152"/>
      <c r="E53" s="492" t="str">
        <f>'Lang Hull'!T15</f>
        <v>If yes :  How much ?</v>
      </c>
      <c r="F53" s="509"/>
      <c r="G53" s="263" t="s">
        <v>3921</v>
      </c>
      <c r="H53" s="10"/>
      <c r="J53" s="145"/>
    </row>
    <row r="54" spans="1:17" ht="16.5" customHeight="1">
      <c r="A54" s="486"/>
      <c r="B54" s="503" t="str">
        <f>'Lang Hull'!D28</f>
        <v>Hull beam</v>
      </c>
      <c r="C54" s="147" t="str">
        <f>'Lang Hull'!W28</f>
        <v>Beam</v>
      </c>
      <c r="D54" s="627"/>
      <c r="E54" s="504" t="s">
        <v>726</v>
      </c>
      <c r="F54" s="783" t="str">
        <f>IF($C$372=2,"Std Hull Data","")</f>
        <v/>
      </c>
      <c r="G54" s="783"/>
      <c r="H54" s="138"/>
      <c r="J54" s="145"/>
    </row>
    <row r="55" spans="1:17" ht="19.5" customHeight="1">
      <c r="A55" s="486">
        <v>18</v>
      </c>
      <c r="B55" s="150" t="str">
        <f>'Lang Hull'!E28</f>
        <v xml:space="preserve">Draft   </v>
      </c>
      <c r="C55" s="486" t="s">
        <v>1588</v>
      </c>
      <c r="D55" s="261"/>
      <c r="E55" s="150"/>
      <c r="F55" s="783" t="str">
        <f>IF($C$372=2,"PLEASE CONFIRM DRAFT","")</f>
        <v/>
      </c>
      <c r="G55" s="783"/>
      <c r="H55" s="137"/>
      <c r="J55" s="145"/>
    </row>
    <row r="56" spans="1:17" ht="20.25" customHeight="1">
      <c r="A56" s="486">
        <v>19.3</v>
      </c>
      <c r="B56" s="884" t="str">
        <f>'Lang Hull'!D48</f>
        <v>If keel is not fixed down</v>
      </c>
      <c r="C56" s="486" t="str">
        <f>'Lang Hull'!F28</f>
        <v>Min</v>
      </c>
      <c r="D56" s="627"/>
      <c r="E56" s="486"/>
      <c r="F56" s="783" t="str">
        <f>IF($C$372=2,"Std Hull Data","")</f>
        <v/>
      </c>
      <c r="G56" s="783"/>
      <c r="H56" s="139"/>
      <c r="J56" s="145"/>
    </row>
    <row r="57" spans="1:17" ht="9" customHeight="1">
      <c r="A57" s="486"/>
      <c r="B57" s="884"/>
      <c r="C57" s="686"/>
      <c r="D57" s="687"/>
      <c r="E57" s="486"/>
      <c r="F57" s="898"/>
      <c r="G57" s="899"/>
      <c r="J57" s="145"/>
    </row>
    <row r="58" spans="1:17" ht="15" customHeight="1">
      <c r="A58" s="486"/>
      <c r="B58" s="794" t="str">
        <f>'Lang Hull'!H28</f>
        <v xml:space="preserve">Wing keel - Span - </v>
      </c>
      <c r="C58" s="795"/>
      <c r="D58" s="627"/>
      <c r="E58" s="150"/>
      <c r="F58" s="783" t="str">
        <f>IF($C$372=2,"Std Hull Data","")</f>
        <v/>
      </c>
      <c r="G58" s="783"/>
      <c r="J58" s="145"/>
    </row>
    <row r="59" spans="1:17" ht="9" customHeight="1">
      <c r="A59" s="486"/>
      <c r="B59" s="490"/>
      <c r="C59" s="571"/>
      <c r="D59" s="572"/>
      <c r="E59" s="150"/>
      <c r="F59" s="170"/>
      <c r="G59" s="170"/>
      <c r="J59" s="145"/>
    </row>
    <row r="60" spans="1:17" ht="15" customHeight="1">
      <c r="A60" s="550" t="s">
        <v>4661</v>
      </c>
      <c r="B60" s="65" t="str">
        <f>'Lang Hull'!R1</f>
        <v>Does the boat weight include: Batteries?</v>
      </c>
      <c r="C60" s="65"/>
      <c r="D60" s="572"/>
      <c r="F60" s="65" t="str">
        <f>'Lang Hull'!S1</f>
        <v>Berth cushions?</v>
      </c>
      <c r="G60" s="170"/>
      <c r="J60" s="145"/>
    </row>
    <row r="61" spans="1:17" s="152" customFormat="1" ht="9" customHeight="1">
      <c r="A61" s="486"/>
      <c r="B61" s="311"/>
      <c r="C61" s="556"/>
      <c r="D61" s="556"/>
      <c r="E61" s="556"/>
      <c r="F61" s="556"/>
      <c r="G61" s="150"/>
      <c r="H61" s="150"/>
      <c r="Q61" s="150"/>
    </row>
    <row r="62" spans="1:17" ht="17.25" customHeight="1">
      <c r="A62" s="550"/>
      <c r="B62" s="891" t="str">
        <f>'Lang Hull'!E1</f>
        <v>Please select the most suitable description from each category.  If "other" give details in the box at the end of this form</v>
      </c>
      <c r="C62" s="891"/>
      <c r="D62" s="891"/>
      <c r="E62" s="891"/>
      <c r="F62" s="891"/>
      <c r="G62" s="891"/>
    </row>
    <row r="63" spans="1:17" ht="17.25" customHeight="1">
      <c r="A63" s="550"/>
      <c r="B63" s="891"/>
      <c r="C63" s="891"/>
      <c r="D63" s="891"/>
      <c r="E63" s="891"/>
      <c r="F63" s="891"/>
      <c r="G63" s="891"/>
      <c r="H63" s="139"/>
    </row>
    <row r="64" spans="1:17" ht="16.5" customHeight="1">
      <c r="A64" s="550"/>
      <c r="B64" s="637" t="str">
        <f>'Lang Hull'!F1</f>
        <v>Hull form</v>
      </c>
      <c r="C64" s="150"/>
      <c r="D64" s="150"/>
      <c r="E64" s="150"/>
    </row>
    <row r="65" spans="1:15" ht="16.5" customHeight="1">
      <c r="A65" s="550"/>
      <c r="B65" s="150" t="str">
        <f>'Lang Hull'!G38</f>
        <v>nb. Most modern production boats are fair form</v>
      </c>
      <c r="C65" s="150"/>
      <c r="D65" s="150"/>
      <c r="E65" s="150"/>
      <c r="H65" s="150"/>
    </row>
    <row r="66" spans="1:15" ht="16.5" customHeight="1">
      <c r="A66" s="550"/>
      <c r="B66" s="308" t="str">
        <f>'Lang Hull'!G1</f>
        <v>Keel configuration</v>
      </c>
      <c r="C66" s="150"/>
      <c r="D66" s="150"/>
      <c r="E66" s="150"/>
      <c r="G66" s="885" t="str">
        <f>'Lang Hull'!I1</f>
        <v>See "IRC Keels" worksheet, or Yearbook</v>
      </c>
      <c r="H66" s="885"/>
    </row>
    <row r="67" spans="1:15" ht="16.5" customHeight="1">
      <c r="A67" s="550"/>
      <c r="B67" s="689" t="str">
        <f>'Lang Hull'!H1</f>
        <v>Single fin keel type</v>
      </c>
      <c r="C67" s="150"/>
      <c r="D67" s="150"/>
      <c r="E67" s="150"/>
      <c r="G67" s="886" t="str">
        <f>'Lang Hull'!F38</f>
        <v>Select keel shape number (ignore a, b etc.)</v>
      </c>
      <c r="H67" s="886"/>
    </row>
    <row r="68" spans="1:15" ht="16.5" customHeight="1">
      <c r="A68" s="550">
        <v>19</v>
      </c>
      <c r="B68" s="688" t="str">
        <f>'Lang Hull'!K28</f>
        <v>Keel fin material</v>
      </c>
      <c r="C68" s="151"/>
      <c r="D68" s="151"/>
      <c r="E68" s="151"/>
      <c r="G68" s="150" t="str">
        <f>'Lang Hull'!L28</f>
        <v>see 'IRC keels' tab for surface fairing definition</v>
      </c>
      <c r="H68" s="546"/>
      <c r="J68" s="257"/>
      <c r="K68" s="257"/>
      <c r="L68" s="257"/>
      <c r="M68" s="257"/>
      <c r="N68" s="257"/>
      <c r="O68" s="257"/>
    </row>
    <row r="69" spans="1:15" ht="16.5" customHeight="1">
      <c r="A69" s="550"/>
      <c r="B69" s="688" t="str">
        <f>'Lang Hull'!M28</f>
        <v>Bulb/wing material</v>
      </c>
      <c r="C69" s="151"/>
      <c r="D69" s="151"/>
      <c r="E69" s="151"/>
      <c r="G69" s="691" t="str">
        <f>'Lang Hull'!L48</f>
        <v>If applicable</v>
      </c>
      <c r="H69" s="557"/>
      <c r="J69" s="257"/>
      <c r="K69" s="257"/>
      <c r="L69" s="257"/>
      <c r="M69" s="257"/>
      <c r="N69" s="257"/>
      <c r="O69" s="257"/>
    </row>
    <row r="70" spans="1:15" ht="16.5" customHeight="1">
      <c r="A70" s="550"/>
      <c r="B70" s="549" t="str">
        <f>'Lang Hull'!P28</f>
        <v>If 'other' give details:</v>
      </c>
      <c r="C70" s="790"/>
      <c r="D70" s="791"/>
      <c r="E70" s="791"/>
      <c r="F70" s="791"/>
      <c r="G70" s="792"/>
      <c r="H70" s="557"/>
      <c r="J70" s="257"/>
      <c r="K70" s="257"/>
      <c r="L70" s="257"/>
      <c r="M70" s="257"/>
      <c r="N70" s="257"/>
      <c r="O70" s="257"/>
    </row>
    <row r="71" spans="1:15" ht="16.5" customHeight="1">
      <c r="A71" s="550"/>
      <c r="B71" s="637" t="str">
        <f>'Lang Hull'!K1</f>
        <v>Rudder</v>
      </c>
      <c r="C71" s="150"/>
      <c r="D71" s="150"/>
      <c r="E71" s="150"/>
      <c r="F71" s="150"/>
      <c r="G71" s="150"/>
      <c r="H71" s="557"/>
      <c r="J71" s="257"/>
      <c r="K71" s="257"/>
      <c r="L71" s="257"/>
      <c r="M71" s="257"/>
      <c r="N71" s="257"/>
      <c r="O71" s="257"/>
    </row>
    <row r="72" spans="1:15" ht="16.5" customHeight="1">
      <c r="A72" s="550"/>
      <c r="B72" s="637" t="str">
        <f>'Lang Hull'!L1</f>
        <v>Hull material</v>
      </c>
      <c r="C72" s="511"/>
      <c r="D72" s="511"/>
      <c r="E72" s="150"/>
      <c r="F72" s="150"/>
      <c r="G72" s="150"/>
      <c r="H72" s="557"/>
    </row>
    <row r="73" spans="1:15" ht="16.5" customHeight="1">
      <c r="A73" s="550"/>
      <c r="B73" s="637" t="str">
        <f>'Lang Hull'!M1</f>
        <v>Accommodation</v>
      </c>
      <c r="C73" s="150"/>
      <c r="D73" s="150"/>
      <c r="E73" s="150"/>
      <c r="F73" s="150"/>
      <c r="G73" s="150"/>
    </row>
    <row r="74" spans="1:15" ht="16.5" customHeight="1">
      <c r="A74" s="550"/>
      <c r="B74" s="638" t="str">
        <f>'Lang Hull'!N1</f>
        <v>Accommodation material</v>
      </c>
      <c r="C74" s="308"/>
      <c r="D74" s="150"/>
      <c r="E74" s="150"/>
      <c r="F74" s="150"/>
      <c r="G74" s="150"/>
    </row>
    <row r="75" spans="1:15" ht="17.25" customHeight="1">
      <c r="A75" s="550"/>
      <c r="B75" s="889" t="str">
        <f>'Lang Hull'!H48</f>
        <v>The Rating Authority may request photographs or more information</v>
      </c>
      <c r="C75" s="889"/>
      <c r="D75" s="889"/>
      <c r="E75" s="889"/>
      <c r="F75" s="889"/>
      <c r="G75" s="889"/>
    </row>
    <row r="76" spans="1:15" ht="17.25" customHeight="1">
      <c r="A76" s="550"/>
      <c r="B76" s="784" t="str">
        <f>'Lang Hull'!F48</f>
        <v>If the boat has ANY of the following or other unusual features not covered by this form, you must complete PART 2 of this application</v>
      </c>
      <c r="C76" s="785"/>
      <c r="D76" s="785"/>
      <c r="E76" s="785"/>
      <c r="F76" s="785"/>
      <c r="G76" s="786"/>
    </row>
    <row r="77" spans="1:15" ht="17.25" customHeight="1">
      <c r="A77" s="550"/>
      <c r="B77" s="787"/>
      <c r="C77" s="788"/>
      <c r="D77" s="788"/>
      <c r="E77" s="788"/>
      <c r="F77" s="788"/>
      <c r="G77" s="789"/>
    </row>
    <row r="78" spans="1:15" ht="17.25" customHeight="1">
      <c r="A78" s="550"/>
      <c r="B78" s="582" t="str">
        <f>'Lang Hull'!O1</f>
        <v>Trim tab(s)</v>
      </c>
      <c r="C78" s="880" t="str">
        <f>'Lang Hull'!Y15</f>
        <v>Material in keel fin (rule 19.6)</v>
      </c>
      <c r="D78" s="880"/>
      <c r="E78" s="880"/>
      <c r="F78" s="668" t="str">
        <f>'Lang Other'!U1</f>
        <v>Standard furniture removed or altered</v>
      </c>
      <c r="G78" s="669"/>
    </row>
    <row r="79" spans="1:15" ht="17.25" customHeight="1">
      <c r="A79" s="550"/>
      <c r="B79" s="582" t="str">
        <f>'Lang Hull'!P1</f>
        <v>Daggerboards (other than keel)</v>
      </c>
      <c r="C79" s="880" t="str">
        <f>'Lang Hull'!V38</f>
        <v>Canting/movable ballast</v>
      </c>
      <c r="D79" s="880"/>
      <c r="E79" s="880"/>
      <c r="F79" s="668"/>
      <c r="G79" s="669"/>
    </row>
    <row r="80" spans="1:15" ht="17.25" customHeight="1">
      <c r="A80" s="550"/>
      <c r="B80" s="582" t="str">
        <f>'Lang Hull'!Q1</f>
        <v>Canard/forward rudder</v>
      </c>
      <c r="C80" s="880" t="str">
        <f>'Lang Hull'!U38</f>
        <v>Water/variable ballast</v>
      </c>
      <c r="D80" s="880"/>
      <c r="E80" s="880"/>
      <c r="F80" s="668"/>
      <c r="G80" s="669"/>
    </row>
    <row r="81" spans="1:13" ht="17.25" customHeight="1">
      <c r="A81" s="550"/>
      <c r="B81" s="583" t="str">
        <f>'Lang Hull'!X15</f>
        <v>Hull topside hollows</v>
      </c>
      <c r="C81" s="881" t="str">
        <f>'Lang Hull'!W38</f>
        <v>Foils that create lift</v>
      </c>
      <c r="D81" s="881"/>
      <c r="E81" s="881"/>
      <c r="F81" s="670"/>
      <c r="G81" s="671"/>
    </row>
    <row r="82" spans="1:13" ht="9" customHeight="1">
      <c r="H82" s="10"/>
    </row>
    <row r="83" spans="1:13" ht="15.75">
      <c r="A83" s="487" t="s">
        <v>4660</v>
      </c>
      <c r="B83" s="763" t="str">
        <f>'Lang Rig'!D1</f>
        <v>RIG and SAILS</v>
      </c>
      <c r="C83" s="763"/>
      <c r="D83" s="763"/>
      <c r="E83" s="763"/>
      <c r="F83" s="763"/>
      <c r="G83" s="763"/>
      <c r="H83" s="10"/>
    </row>
    <row r="84" spans="1:13" ht="17.25" customHeight="1">
      <c r="A84" s="487" t="s">
        <v>4674</v>
      </c>
      <c r="B84" s="510"/>
      <c r="C84" s="511"/>
      <c r="D84" s="511"/>
      <c r="E84" s="859" t="str">
        <f>'Lang Rig'!H51</f>
        <v>Two masted rigs - see PART 2 for mizzen data</v>
      </c>
      <c r="F84" s="859"/>
      <c r="G84" s="708"/>
    </row>
    <row r="85" spans="1:13" ht="17.25" customHeight="1">
      <c r="A85" s="550"/>
      <c r="C85" s="794" t="str">
        <f>'Lang Rig'!F1</f>
        <v>Main or forward mast</v>
      </c>
      <c r="D85" s="794"/>
      <c r="E85" s="859"/>
      <c r="F85" s="859"/>
      <c r="G85" s="709" t="str">
        <f>'Lang Rig'!H1</f>
        <v>Source of information</v>
      </c>
      <c r="H85" s="276" t="str">
        <f>'Lang Header'!L12</f>
        <v xml:space="preserve">Measurement drawings </v>
      </c>
    </row>
    <row r="86" spans="1:13" ht="24">
      <c r="A86" s="550"/>
      <c r="B86" s="490"/>
      <c r="C86" s="512"/>
      <c r="D86" s="152"/>
      <c r="E86" s="859"/>
      <c r="F86" s="859"/>
      <c r="G86" s="710" t="str">
        <f>'Lang Hull'!G15</f>
        <v>Required. Eg. owner, measurer (name)</v>
      </c>
      <c r="H86" s="276"/>
    </row>
    <row r="87" spans="1:13" ht="17.25" customHeight="1">
      <c r="A87" s="550"/>
      <c r="B87" s="150" t="str">
        <f>'Lang Rig'!I1</f>
        <v>Mainsail upper limit</v>
      </c>
      <c r="C87" s="486" t="s">
        <v>389</v>
      </c>
      <c r="D87" s="261"/>
      <c r="G87" s="513"/>
      <c r="J87" s="273"/>
      <c r="K87" s="274"/>
      <c r="L87" s="274"/>
      <c r="M87" s="152"/>
    </row>
    <row r="88" spans="1:13" ht="17.25" customHeight="1">
      <c r="A88" s="550"/>
      <c r="B88" s="150" t="str">
        <f>'Lang Rig'!J1</f>
        <v>Mainsail outer limit</v>
      </c>
      <c r="C88" s="486" t="s">
        <v>391</v>
      </c>
      <c r="D88" s="261"/>
      <c r="G88" s="481"/>
      <c r="J88" s="282"/>
      <c r="K88" s="152"/>
    </row>
    <row r="89" spans="1:13" ht="17.25" customHeight="1">
      <c r="A89" s="550"/>
      <c r="B89" s="150" t="str">
        <f>'Lang Rig'!K1</f>
        <v>Foretriangle base</v>
      </c>
      <c r="C89" s="486" t="s">
        <v>394</v>
      </c>
      <c r="D89" s="261"/>
      <c r="E89" s="150"/>
      <c r="F89" s="150"/>
      <c r="G89" s="481"/>
      <c r="H89" s="10"/>
      <c r="J89" s="283"/>
      <c r="K89" s="152"/>
    </row>
    <row r="90" spans="1:13" ht="17.25" customHeight="1">
      <c r="A90" s="550"/>
      <c r="B90" s="150" t="str">
        <f>'Lang Rig'!L1</f>
        <v>Forestay length</v>
      </c>
      <c r="C90" s="486" t="s">
        <v>397</v>
      </c>
      <c r="D90" s="261"/>
      <c r="E90" s="150"/>
      <c r="F90" s="150"/>
      <c r="G90" s="481"/>
    </row>
    <row r="91" spans="1:13" ht="17.25" customHeight="1">
      <c r="A91" s="550"/>
      <c r="B91" s="150" t="str">
        <f>'Lang Rig'!M1</f>
        <v>Spin / whisker pole or tack length</v>
      </c>
      <c r="C91" s="147" t="s">
        <v>2509</v>
      </c>
      <c r="D91" s="261"/>
      <c r="E91" s="12"/>
      <c r="F91" s="514"/>
      <c r="G91" s="481"/>
      <c r="H91" s="10"/>
    </row>
    <row r="92" spans="1:13" ht="17.25" customHeight="1">
      <c r="A92" s="550"/>
      <c r="B92" s="796" t="str">
        <f>'Lang Rig'!P1</f>
        <v>*STL always required when spinnaker used, even if tacked to deck</v>
      </c>
      <c r="C92" s="796"/>
      <c r="D92" s="938"/>
      <c r="E92" s="796"/>
      <c r="F92" s="796"/>
      <c r="G92" s="938"/>
      <c r="H92" s="10"/>
    </row>
    <row r="93" spans="1:13" ht="9" customHeight="1">
      <c r="A93" s="566"/>
      <c r="B93" s="835"/>
      <c r="C93" s="835"/>
      <c r="D93" s="835"/>
      <c r="E93" s="835"/>
      <c r="F93" s="835"/>
      <c r="G93" s="835"/>
    </row>
    <row r="94" spans="1:13" ht="17.25" customHeight="1">
      <c r="A94" s="145"/>
      <c r="B94" s="510" t="str">
        <f>'Lang Rig'!D31</f>
        <v>Name of sailmaker (s) loft (s)</v>
      </c>
      <c r="C94" s="845"/>
      <c r="D94" s="846"/>
      <c r="E94" s="846"/>
      <c r="F94" s="846"/>
      <c r="G94" s="847"/>
      <c r="I94" s="10"/>
    </row>
    <row r="95" spans="1:13" ht="17.25" customHeight="1">
      <c r="A95" s="486">
        <v>13</v>
      </c>
      <c r="B95" s="876" t="str">
        <f>'Lang Rig'!M61</f>
        <v>We recommend measurement by a sailmaker or measurer but self-measurement is acceptable for standard certificates</v>
      </c>
      <c r="C95" s="876"/>
      <c r="D95" s="876"/>
      <c r="E95" s="876"/>
      <c r="F95" s="876"/>
      <c r="G95" s="876"/>
      <c r="H95" s="876"/>
      <c r="I95" s="10"/>
    </row>
    <row r="96" spans="1:13" ht="17.25" customHeight="1">
      <c r="A96" s="486">
        <v>8.5</v>
      </c>
      <c r="B96" s="875" t="str">
        <f>'Lang Rig'!K51</f>
        <v>Sails must be measured by an approved measurer for Endorsed certificates</v>
      </c>
      <c r="C96" s="875"/>
      <c r="D96" s="875"/>
      <c r="E96" s="875"/>
      <c r="F96" s="875"/>
      <c r="G96" s="875"/>
      <c r="H96" s="277" t="str">
        <f>'Lang Rig'!H61</f>
        <v>Simple sail measurement guides (not applicable for Endorsed certificates)</v>
      </c>
      <c r="I96" s="10"/>
    </row>
    <row r="97" spans="1:16" ht="17.25" customHeight="1">
      <c r="A97" s="550">
        <v>21.7</v>
      </c>
      <c r="B97" s="505" t="str">
        <f>'Lang Rig'!D11</f>
        <v>Longest HLU of any headsail</v>
      </c>
      <c r="C97" s="694" t="s">
        <v>4579</v>
      </c>
      <c r="D97" s="261"/>
      <c r="E97" s="695"/>
      <c r="F97" s="696"/>
      <c r="G97" s="262"/>
      <c r="H97" s="150" t="str">
        <f>'Lang Rig'!G61</f>
        <v>*If not supplied HLUmax will be input as HLU. Please check definition and supply if any headsail has a luff length longer than HLU</v>
      </c>
    </row>
    <row r="98" spans="1:16" ht="17.25" customHeight="1">
      <c r="A98" s="550"/>
      <c r="B98" s="150" t="str">
        <f>'Lang Rig'!E11</f>
        <v>Headsail luff length</v>
      </c>
      <c r="C98" s="486" t="s">
        <v>4443</v>
      </c>
      <c r="D98" s="261"/>
      <c r="E98" s="150"/>
      <c r="F98" s="515"/>
      <c r="G98" s="262"/>
      <c r="H98" s="256" t="str">
        <f>IF(AND(D98&gt;0,D97&gt;D98),"LLmax&gt;LL, check definition","")</f>
        <v/>
      </c>
    </row>
    <row r="99" spans="1:16" ht="17.25" customHeight="1">
      <c r="A99" s="550"/>
      <c r="B99" s="150" t="str">
        <f>'Lang Rig'!F11</f>
        <v>Headsail perpendicular</v>
      </c>
      <c r="C99" s="486" t="s">
        <v>4444</v>
      </c>
      <c r="D99" s="261"/>
      <c r="E99" s="516" t="str">
        <f>'Lang Rig'!N11</f>
        <v>Calc HSA</v>
      </c>
      <c r="F99" s="580">
        <f>IF(C365=TRUE,(0.0625*(ROUND(D98,2))*(4*(ROUND(D99,2))+(6*(ROUND(D100,2)))+(3*(ROUND(D101,2)))+(2*(ROUND(D102,2)))+0.09)),0)</f>
        <v>0</v>
      </c>
      <c r="G99" s="517" t="str">
        <f>'Lang Rig'!P21</f>
        <v>from COMPLETE linear data</v>
      </c>
      <c r="H99" s="581" t="str">
        <f>'Lang Rig'!M11</f>
        <v>**largest area headsail</v>
      </c>
    </row>
    <row r="100" spans="1:16" ht="17.25" customHeight="1">
      <c r="A100" s="550"/>
      <c r="B100" s="150" t="str">
        <f>'Lang Rig'!G11</f>
        <v>Headsail 1/2 width</v>
      </c>
      <c r="C100" s="486" t="s">
        <v>4375</v>
      </c>
      <c r="D100" s="261"/>
      <c r="E100" s="150"/>
      <c r="F100" s="579"/>
      <c r="G100" s="262"/>
      <c r="H100" s="284"/>
      <c r="I100" s="152"/>
    </row>
    <row r="101" spans="1:16" ht="17.25" customHeight="1">
      <c r="A101" s="550"/>
      <c r="B101" s="150" t="str">
        <f>'Lang Rig'!H11</f>
        <v>Headsail 3/4 width</v>
      </c>
      <c r="C101" s="486" t="s">
        <v>4376</v>
      </c>
      <c r="D101" s="261"/>
      <c r="E101" s="518"/>
      <c r="F101" s="519"/>
      <c r="G101" s="262"/>
      <c r="H101" s="284"/>
      <c r="I101" s="152"/>
    </row>
    <row r="102" spans="1:16" ht="17.25" customHeight="1">
      <c r="A102" s="550"/>
      <c r="B102" s="150" t="str">
        <f>'Lang Rig'!I11</f>
        <v>Headsail upper (7/8) width</v>
      </c>
      <c r="C102" s="147" t="s">
        <v>2528</v>
      </c>
      <c r="D102" s="261"/>
      <c r="E102" s="518"/>
      <c r="F102" s="519"/>
      <c r="G102" s="262"/>
      <c r="H102" s="149"/>
    </row>
    <row r="103" spans="1:16" ht="17.25" customHeight="1">
      <c r="A103" s="550"/>
      <c r="B103" s="150" t="s">
        <v>3182</v>
      </c>
      <c r="C103" s="147" t="s">
        <v>3181</v>
      </c>
      <c r="D103" s="697"/>
      <c r="E103" s="518" t="s">
        <v>3180</v>
      </c>
      <c r="F103" s="519">
        <f>D99*0.075</f>
        <v>0</v>
      </c>
      <c r="G103" s="409"/>
      <c r="H103" s="149"/>
      <c r="I103" s="10"/>
      <c r="J103" s="169"/>
      <c r="K103" s="10"/>
      <c r="L103" s="10"/>
      <c r="M103" s="10"/>
      <c r="N103" s="10"/>
      <c r="O103" s="10"/>
      <c r="P103" s="10"/>
    </row>
    <row r="104" spans="1:16" ht="17.25" customHeight="1">
      <c r="A104" s="550">
        <v>21.5</v>
      </c>
      <c r="B104" s="505" t="str">
        <f>'Lang Rig'!J11</f>
        <v>Mainsail upper (7/8) width</v>
      </c>
      <c r="C104" s="694" t="s">
        <v>1507</v>
      </c>
      <c r="D104" s="261"/>
      <c r="E104" s="698"/>
      <c r="F104" s="699"/>
      <c r="G104" s="409"/>
      <c r="H104" s="149"/>
      <c r="I104" s="10"/>
      <c r="J104" s="169"/>
      <c r="K104" s="10"/>
      <c r="L104" s="10"/>
      <c r="M104" s="10"/>
      <c r="N104" s="10"/>
      <c r="O104" s="10"/>
      <c r="P104" s="10"/>
    </row>
    <row r="105" spans="1:16" ht="17.25" customHeight="1">
      <c r="A105" s="550"/>
      <c r="B105" s="150" t="str">
        <f>'Lang Rig'!K11</f>
        <v>Mainsail 3/4 width</v>
      </c>
      <c r="C105" s="486" t="s">
        <v>1506</v>
      </c>
      <c r="D105" s="261"/>
      <c r="E105" s="518"/>
      <c r="F105" s="520"/>
      <c r="G105" s="262"/>
      <c r="H105" s="149"/>
      <c r="I105" s="10"/>
      <c r="J105" s="506"/>
      <c r="K105" s="506"/>
      <c r="L105" s="506"/>
      <c r="M105" s="506"/>
      <c r="N105" s="506"/>
      <c r="O105" s="506"/>
      <c r="P105" s="10"/>
    </row>
    <row r="106" spans="1:16" ht="17.25" customHeight="1">
      <c r="A106" s="550"/>
      <c r="B106" s="150" t="str">
        <f>'Lang Rig'!L11</f>
        <v>Mainsail 1/2 width</v>
      </c>
      <c r="C106" s="147" t="s">
        <v>1504</v>
      </c>
      <c r="D106" s="700"/>
      <c r="E106" s="518"/>
      <c r="F106" s="520"/>
      <c r="G106" s="262"/>
      <c r="H106" s="149"/>
      <c r="I106" s="10"/>
      <c r="J106" s="169"/>
      <c r="K106" s="169"/>
      <c r="L106" s="169"/>
      <c r="M106" s="169"/>
      <c r="N106" s="169"/>
      <c r="O106" s="169"/>
      <c r="P106" s="10"/>
    </row>
    <row r="107" spans="1:16" ht="17.25" customHeight="1">
      <c r="A107" s="550">
        <v>21.6</v>
      </c>
      <c r="B107" s="779" t="str">
        <f>'Lang Rig'!P11</f>
        <v xml:space="preserve">No. of spinnakers carried when racing </v>
      </c>
      <c r="C107" s="877"/>
      <c r="D107" s="264">
        <v>0</v>
      </c>
      <c r="E107" s="779" t="str">
        <f>'Lang Rig'!Q11</f>
        <v>symmetric</v>
      </c>
      <c r="F107" s="779"/>
      <c r="G107" s="521" t="str">
        <f>IF(OR(D107&gt;0,D108&gt;0),'Lang Rig'!L61,"")</f>
        <v/>
      </c>
      <c r="H107" s="882" t="str">
        <f>'Lang Rig'!F51</f>
        <v>(no rating reduction for fewer than 3 spis)</v>
      </c>
      <c r="I107" s="883"/>
      <c r="J107" s="883"/>
      <c r="K107" s="883"/>
      <c r="L107" s="10"/>
      <c r="M107" s="10"/>
      <c r="N107" s="10"/>
      <c r="O107" s="10"/>
      <c r="P107" s="10"/>
    </row>
    <row r="108" spans="1:16" ht="17.25" customHeight="1">
      <c r="A108" s="550"/>
      <c r="C108" s="685"/>
      <c r="D108" s="701">
        <v>0</v>
      </c>
      <c r="E108" s="838" t="str">
        <f>'Lang Rig'!R11</f>
        <v>asymmetric</v>
      </c>
      <c r="F108" s="746"/>
      <c r="G108" s="502"/>
      <c r="H108" s="149"/>
      <c r="I108" s="10"/>
      <c r="J108" s="169"/>
      <c r="K108" s="554"/>
      <c r="L108" s="10"/>
      <c r="M108" s="10"/>
      <c r="N108" s="10"/>
      <c r="O108" s="10"/>
      <c r="P108" s="10"/>
    </row>
    <row r="109" spans="1:16" ht="17.25" customHeight="1">
      <c r="A109" s="550"/>
      <c r="B109" s="505" t="str">
        <f>'Lang Rig'!D21</f>
        <v>Symmetric spinnaker luff</v>
      </c>
      <c r="C109" s="694" t="s">
        <v>1510</v>
      </c>
      <c r="D109" s="261"/>
      <c r="E109" s="505"/>
      <c r="F109" s="702"/>
      <c r="G109" s="262"/>
      <c r="H109" s="581"/>
      <c r="I109" s="10"/>
      <c r="J109" s="169"/>
      <c r="K109" s="554"/>
      <c r="L109" s="10"/>
      <c r="M109" s="10"/>
      <c r="N109" s="10"/>
      <c r="O109" s="10"/>
      <c r="P109" s="10"/>
    </row>
    <row r="110" spans="1:16" ht="17.25" customHeight="1">
      <c r="A110" s="550"/>
      <c r="B110" s="150" t="str">
        <f>'Lang Rig'!E21</f>
        <v>Symmetric spinnaker leech</v>
      </c>
      <c r="C110" s="486" t="s">
        <v>171</v>
      </c>
      <c r="D110" s="261"/>
      <c r="E110" s="150"/>
      <c r="F110" s="522"/>
      <c r="G110" s="262"/>
      <c r="H110" s="285"/>
      <c r="I110" s="10"/>
      <c r="J110" s="484"/>
      <c r="K110" s="484"/>
      <c r="L110" s="484"/>
      <c r="M110" s="484"/>
      <c r="N110" s="484"/>
      <c r="O110" s="484"/>
      <c r="P110" s="10"/>
    </row>
    <row r="111" spans="1:16" ht="17.25" customHeight="1">
      <c r="A111" s="550"/>
      <c r="B111" s="150" t="str">
        <f>'Lang Rig'!F21</f>
        <v>Symmetric spinnaker foot</v>
      </c>
      <c r="C111" s="486" t="s">
        <v>4445</v>
      </c>
      <c r="D111" s="261"/>
      <c r="E111" s="490"/>
      <c r="F111" s="693"/>
      <c r="G111" s="262"/>
      <c r="H111" s="10"/>
      <c r="I111" s="10"/>
      <c r="J111" s="484"/>
      <c r="K111" s="484"/>
      <c r="L111" s="484"/>
      <c r="M111" s="484"/>
      <c r="N111" s="484"/>
      <c r="O111" s="484"/>
      <c r="P111" s="10"/>
    </row>
    <row r="112" spans="1:16" ht="17.25" customHeight="1">
      <c r="A112" s="550"/>
      <c r="B112" s="150" t="str">
        <f>'Lang Rig'!G21</f>
        <v>Symmetric spinnaker half width</v>
      </c>
      <c r="C112" s="147" t="s">
        <v>177</v>
      </c>
      <c r="D112" s="700"/>
      <c r="E112" s="584" t="str">
        <f>'Lang Rig'!O21</f>
        <v>Calc SPA</v>
      </c>
      <c r="F112" s="692">
        <f>IF(D379=TRUE,((ROUND(D109,2)+ROUND(D110,2))/2)*((ROUND(D111,2)+(4*ROUND(D112,2)))/5)*0.83,0)</f>
        <v>0</v>
      </c>
      <c r="G112" s="523" t="str">
        <f>'Lang Rig'!P21</f>
        <v>from COMPLETE linear data</v>
      </c>
      <c r="H112" s="176" t="str">
        <f>IF(AND(D112&gt;0,D112&lt;D111*0.75),"SHW &lt; 75%SF (see validation sheet)","")</f>
        <v/>
      </c>
      <c r="I112" s="10"/>
      <c r="J112" s="257"/>
      <c r="K112" s="257"/>
      <c r="L112" s="257"/>
      <c r="M112" s="257"/>
      <c r="N112" s="257"/>
      <c r="O112" s="257"/>
      <c r="P112" s="10"/>
    </row>
    <row r="113" spans="1:16" ht="17.25" customHeight="1">
      <c r="A113" s="550">
        <v>21.6</v>
      </c>
      <c r="B113" s="505" t="str">
        <f>'Lang Rig'!H21</f>
        <v>Asymmetric spinnaker luff</v>
      </c>
      <c r="C113" s="694" t="s">
        <v>1510</v>
      </c>
      <c r="D113" s="261"/>
      <c r="E113" s="505"/>
      <c r="F113" s="703"/>
      <c r="G113" s="409"/>
      <c r="H113" s="153" t="str">
        <f>IF(E172&gt;0,'Lang Hull'!D38,"")</f>
        <v/>
      </c>
      <c r="I113" s="10"/>
      <c r="J113" s="257"/>
      <c r="K113" s="257"/>
      <c r="L113" s="257"/>
      <c r="M113" s="257"/>
      <c r="N113" s="257"/>
      <c r="O113" s="257"/>
      <c r="P113" s="10"/>
    </row>
    <row r="114" spans="1:16" ht="17.25" customHeight="1">
      <c r="A114" s="550"/>
      <c r="B114" s="150" t="str">
        <f>'Lang Rig'!I21</f>
        <v>Asymmetric spinnaker leech</v>
      </c>
      <c r="C114" s="486" t="s">
        <v>171</v>
      </c>
      <c r="D114" s="261"/>
      <c r="E114" s="150"/>
      <c r="F114" s="150"/>
      <c r="G114" s="262"/>
      <c r="I114" s="10"/>
      <c r="J114" s="169"/>
      <c r="K114" s="10"/>
      <c r="L114" s="10"/>
      <c r="M114" s="10"/>
      <c r="N114" s="10"/>
      <c r="O114" s="10"/>
      <c r="P114" s="10"/>
    </row>
    <row r="115" spans="1:16" ht="17.25" customHeight="1">
      <c r="A115" s="550"/>
      <c r="B115" s="150" t="str">
        <f>'Lang Rig'!J21</f>
        <v>Asymmetric spinnaker foot</v>
      </c>
      <c r="C115" s="486" t="s">
        <v>4445</v>
      </c>
      <c r="D115" s="261"/>
      <c r="E115" s="490"/>
      <c r="F115" s="693"/>
      <c r="G115" s="262"/>
      <c r="H115" s="10"/>
    </row>
    <row r="116" spans="1:16" ht="17.25" customHeight="1">
      <c r="A116" s="550"/>
      <c r="B116" s="704" t="str">
        <f>'Lang Rig'!K21</f>
        <v>Asymmetric spinnaker half width</v>
      </c>
      <c r="C116" s="705" t="s">
        <v>177</v>
      </c>
      <c r="D116" s="261"/>
      <c r="E116" s="706" t="str">
        <f>E112</f>
        <v>Calc SPA</v>
      </c>
      <c r="F116" s="707">
        <f>IF(D383=TRUE,((ROUND(D113,2)+ROUND(D114,2))/2)*((ROUND(D115,2)+(4*ROUND(D116,2)))/5)*0.83,0)</f>
        <v>0</v>
      </c>
      <c r="G116" s="523" t="str">
        <f>G112</f>
        <v>from COMPLETE linear data</v>
      </c>
      <c r="H116" s="176" t="str">
        <f>IF(AND(D116&gt;0,D116&lt;D115*0.75),"SHW &lt; 75%SF (see validation sheet)","")</f>
        <v/>
      </c>
    </row>
    <row r="117" spans="1:16" ht="9" customHeight="1">
      <c r="A117" s="486"/>
      <c r="B117" s="150"/>
      <c r="C117" s="486"/>
      <c r="D117" s="572"/>
      <c r="E117" s="482"/>
      <c r="F117" s="585"/>
      <c r="G117" s="586"/>
      <c r="H117" s="176"/>
    </row>
    <row r="118" spans="1:16" ht="17.25" customHeight="1">
      <c r="A118" s="486">
        <v>21.3</v>
      </c>
      <c r="B118" s="776" t="str">
        <f>'Lang Rig'!N1</f>
        <v>When racing the yacht uses (spi/whisker pole/bowsprit) :</v>
      </c>
      <c r="C118" s="776"/>
      <c r="D118" s="776"/>
      <c r="E118" s="776"/>
      <c r="F118" s="796"/>
      <c r="G118" s="796"/>
      <c r="H118" s="172"/>
      <c r="J118" s="144"/>
    </row>
    <row r="119" spans="1:16" ht="9" customHeight="1">
      <c r="A119" s="486"/>
      <c r="B119" s="150"/>
      <c r="C119" s="486"/>
      <c r="D119" s="572"/>
      <c r="E119" s="482"/>
      <c r="F119" s="585"/>
      <c r="G119" s="586"/>
      <c r="H119" s="176"/>
    </row>
    <row r="120" spans="1:16" s="10" customFormat="1" ht="17.25" customHeight="1">
      <c r="A120" s="569">
        <v>21.8</v>
      </c>
      <c r="B120" s="150" t="str">
        <f>'Lang Rig'!F41</f>
        <v>Is a roller furling headsail fitted?</v>
      </c>
      <c r="C120" s="150"/>
      <c r="D120" s="150"/>
      <c r="E120" s="150"/>
      <c r="F120" s="150"/>
      <c r="G120" s="267" t="e">
        <f>D99/D89</f>
        <v>#DIV/0!</v>
      </c>
      <c r="H120" s="587" t="str">
        <f>'Lang Pay'!H38</f>
        <v>LP/J ratio. If less than 1.30 not eligible for furling allowance:</v>
      </c>
      <c r="I120" s="145"/>
      <c r="J120" s="169"/>
    </row>
    <row r="121" spans="1:16" s="10" customFormat="1" ht="17.25" customHeight="1">
      <c r="A121" s="569"/>
      <c r="B121" s="308" t="str">
        <f>'Lang Rig'!L51</f>
        <v>IF FURLING HEADSAIL FITTED answer the following questions:</v>
      </c>
      <c r="C121" s="150"/>
      <c r="D121" s="150"/>
      <c r="E121" s="150"/>
      <c r="F121" s="150"/>
      <c r="G121" s="267"/>
      <c r="H121" s="587"/>
      <c r="I121" s="145"/>
      <c r="J121" s="169"/>
    </row>
    <row r="122" spans="1:16" s="10" customFormat="1" ht="27" customHeight="1">
      <c r="A122" s="569"/>
      <c r="B122" s="860" t="str">
        <f>'Lang Rig'!H41</f>
        <v>TOTAL No. of headsails carried that may be used when racing</v>
      </c>
      <c r="C122" s="860"/>
      <c r="D122" s="526"/>
      <c r="E122" s="526"/>
      <c r="F122" s="150"/>
      <c r="G122" s="878" t="str">
        <f>'Lang Rig'!J41</f>
        <v>(excluding OSR* storm &amp; heavy weather sails)</v>
      </c>
      <c r="H122" s="878"/>
      <c r="I122" s="152"/>
      <c r="J122" s="384"/>
      <c r="K122" s="150"/>
      <c r="L122" s="150"/>
    </row>
    <row r="123" spans="1:16" s="10" customFormat="1" ht="17.25" customHeight="1">
      <c r="A123" s="569" t="s">
        <v>4608</v>
      </c>
      <c r="B123" s="777" t="str">
        <f>'Lang Rig'!K41</f>
        <v>AND : OSR* heavy weather jib carried ?</v>
      </c>
      <c r="C123" s="777"/>
      <c r="D123" s="150"/>
      <c r="E123" s="150"/>
      <c r="F123" s="150"/>
      <c r="G123" s="776" t="str">
        <f>'Lang Rig'!P41</f>
        <v>*World Sailing Offshore Special Regulation 4.26</v>
      </c>
      <c r="H123" s="776"/>
      <c r="I123" s="145"/>
      <c r="J123" s="169"/>
    </row>
    <row r="124" spans="1:16" s="10" customFormat="1" ht="9" customHeight="1">
      <c r="A124" s="569"/>
      <c r="C124" s="587"/>
      <c r="D124" s="587"/>
      <c r="E124" s="587"/>
      <c r="F124" s="587"/>
      <c r="H124" s="171"/>
      <c r="I124" s="145"/>
      <c r="J124" s="169"/>
    </row>
    <row r="125" spans="1:16" ht="20.25" customHeight="1">
      <c r="A125" s="486">
        <v>21.2</v>
      </c>
      <c r="B125" s="746" t="str">
        <f>'Lang Rig'!G41</f>
        <v xml:space="preserve">Is in-mast furling fitted?  </v>
      </c>
      <c r="C125" s="746"/>
      <c r="D125" s="150"/>
      <c r="E125" s="150"/>
      <c r="F125" s="150"/>
      <c r="G125" s="150"/>
    </row>
    <row r="126" spans="1:16" ht="9" customHeight="1">
      <c r="A126" s="486"/>
      <c r="B126" s="493"/>
      <c r="C126" s="493"/>
      <c r="D126" s="150"/>
      <c r="E126" s="150"/>
      <c r="F126" s="150"/>
      <c r="G126" s="150"/>
    </row>
    <row r="127" spans="1:16" ht="17.25" customHeight="1">
      <c r="A127" s="550">
        <v>21.1</v>
      </c>
      <c r="B127" s="493" t="str">
        <f>'Lang Rig'!E1</f>
        <v>Rig type</v>
      </c>
      <c r="C127" s="150"/>
      <c r="D127" s="150"/>
      <c r="E127" s="150"/>
      <c r="F127" s="308"/>
      <c r="G127" s="308"/>
      <c r="H127" s="10"/>
    </row>
    <row r="128" spans="1:16" ht="9" customHeight="1">
      <c r="A128" s="550"/>
      <c r="B128" s="150"/>
      <c r="C128" s="150"/>
      <c r="D128" s="150"/>
      <c r="E128" s="150"/>
      <c r="F128" s="150"/>
      <c r="G128" s="150"/>
    </row>
    <row r="129" spans="1:12" ht="17.25" customHeight="1">
      <c r="A129" s="550"/>
      <c r="B129" s="150" t="str">
        <f>'Lang Rig'!E31</f>
        <v>Mainmast material</v>
      </c>
      <c r="C129" s="511"/>
      <c r="D129" s="511"/>
      <c r="E129" s="495" t="str">
        <f>'Lang Rig'!F31</f>
        <v>if other :</v>
      </c>
      <c r="F129" s="845"/>
      <c r="G129" s="847"/>
      <c r="H129" s="172"/>
    </row>
    <row r="130" spans="1:12" ht="17.25" customHeight="1">
      <c r="A130" s="550"/>
      <c r="B130" s="150" t="str">
        <f>'Lang Rig'!G31</f>
        <v>No. of pairs of spreaders</v>
      </c>
      <c r="C130" s="150"/>
      <c r="D130" s="265"/>
      <c r="E130" s="150"/>
      <c r="F130" s="150"/>
      <c r="G130" s="505"/>
    </row>
    <row r="131" spans="1:12" ht="17.25" customHeight="1">
      <c r="A131" s="550"/>
      <c r="B131" s="150" t="str">
        <f>'Lang Rig'!H31</f>
        <v>No. of pairs diamonds/jumpers</v>
      </c>
      <c r="C131" s="150"/>
      <c r="D131" s="265"/>
      <c r="E131" s="524" t="str">
        <f>'Lang Rig'!K31</f>
        <v>(forward facing spreaders on fractionally rigged boats)</v>
      </c>
      <c r="F131" s="150"/>
      <c r="G131" s="150"/>
      <c r="H131" s="148"/>
      <c r="I131" s="148"/>
      <c r="J131" s="470"/>
    </row>
    <row r="132" spans="1:12" ht="17.25" customHeight="1">
      <c r="A132" s="550"/>
      <c r="B132" s="150" t="str">
        <f>'Lang Rig'!I31</f>
        <v>No. of aft stays or pairs of stays</v>
      </c>
      <c r="C132" s="150"/>
      <c r="D132" s="525"/>
      <c r="E132" s="632" t="str">
        <f>'Lang Rig'!L31</f>
        <v>see drawings</v>
      </c>
      <c r="G132" s="10"/>
      <c r="H132" s="471"/>
      <c r="I132" s="148"/>
      <c r="J132" s="470"/>
    </row>
    <row r="133" spans="1:12" ht="21" customHeight="1">
      <c r="A133" s="550"/>
      <c r="B133" s="777" t="str">
        <f>'Lang Rig'!M31</f>
        <v>Spreader sweepback</v>
      </c>
      <c r="C133" s="777"/>
      <c r="D133" s="777"/>
      <c r="E133" s="777"/>
      <c r="F133" s="150"/>
      <c r="G133" s="150"/>
      <c r="H133" s="472"/>
      <c r="I133" s="148"/>
      <c r="J133" s="470"/>
    </row>
    <row r="134" spans="1:12" ht="15" customHeight="1">
      <c r="A134" s="486" t="s">
        <v>4614</v>
      </c>
      <c r="B134" s="150" t="str">
        <f>'Lang Rig'!G51</f>
        <v xml:space="preserve">If the boat has no running backstays, checkstays or adjustable backstay, tick here </v>
      </c>
      <c r="C134" s="150"/>
      <c r="D134" s="11"/>
      <c r="E134" s="591"/>
      <c r="F134" s="150"/>
      <c r="G134" s="150"/>
      <c r="H134" s="172"/>
      <c r="J134" s="405"/>
      <c r="K134" s="152"/>
      <c r="L134" s="152"/>
    </row>
    <row r="135" spans="1:12" ht="21.75" customHeight="1">
      <c r="A135" s="550">
        <v>21.2</v>
      </c>
      <c r="B135" s="777" t="str">
        <f>'Lang Rig'!N31</f>
        <v>Does the rig have any unusual / non standard features?</v>
      </c>
      <c r="C135" s="777"/>
      <c r="D135" s="777"/>
      <c r="E135" s="486" t="s">
        <v>726</v>
      </c>
      <c r="F135" s="482" t="s">
        <v>726</v>
      </c>
      <c r="G135" s="577" t="str">
        <f>'Lang Rig'!P31</f>
        <v>If yes, give details in box at end of form</v>
      </c>
      <c r="H135" s="148"/>
      <c r="I135" s="148"/>
      <c r="J135" s="470"/>
    </row>
    <row r="136" spans="1:12" ht="9" customHeight="1">
      <c r="A136" s="550"/>
      <c r="C136" s="577"/>
      <c r="D136" s="577"/>
      <c r="E136" s="486"/>
      <c r="F136" s="482"/>
      <c r="G136" s="308"/>
    </row>
    <row r="137" spans="1:12" ht="18.75" customHeight="1">
      <c r="A137" s="486"/>
      <c r="B137" s="150" t="str">
        <f>'Lang Rig'!D41</f>
        <v>Standing rigging material</v>
      </c>
      <c r="C137" s="308" t="s">
        <v>726</v>
      </c>
      <c r="D137" s="482" t="s">
        <v>726</v>
      </c>
      <c r="E137" s="150"/>
      <c r="F137" s="65"/>
      <c r="G137" s="65"/>
    </row>
    <row r="138" spans="1:12" ht="19.5" customHeight="1">
      <c r="A138" s="486"/>
      <c r="B138" s="150" t="str">
        <f>'Lang Rig'!E41</f>
        <v>Specify here if 'other'</v>
      </c>
      <c r="C138" s="845"/>
      <c r="D138" s="846"/>
      <c r="E138" s="846"/>
      <c r="F138" s="846"/>
      <c r="G138" s="847"/>
    </row>
    <row r="139" spans="1:12" ht="9" customHeight="1">
      <c r="A139" s="486"/>
      <c r="B139" s="150"/>
      <c r="C139" s="170"/>
      <c r="D139" s="170"/>
      <c r="E139" s="170"/>
      <c r="F139" s="170"/>
      <c r="G139" s="592"/>
    </row>
    <row r="140" spans="1:12" ht="19.5" customHeight="1">
      <c r="A140" s="486"/>
      <c r="B140" s="852" t="str">
        <f>'Lang Hull'!F48</f>
        <v>If the boat has ANY of the following or other unusual features not covered by this form, you must complete PART 2 of this application</v>
      </c>
      <c r="C140" s="853"/>
      <c r="D140" s="853"/>
      <c r="E140" s="853"/>
      <c r="F140" s="853"/>
      <c r="G140" s="854"/>
    </row>
    <row r="141" spans="1:12" ht="19.5" customHeight="1">
      <c r="A141" s="486"/>
      <c r="B141" s="855"/>
      <c r="C141" s="856"/>
      <c r="D141" s="856"/>
      <c r="E141" s="856"/>
      <c r="F141" s="856"/>
      <c r="G141" s="857"/>
    </row>
    <row r="142" spans="1:12" ht="17.25" customHeight="1">
      <c r="A142" s="486">
        <v>15</v>
      </c>
      <c r="B142" s="850" t="str">
        <f>'Lang Rig'!M51</f>
        <v>Stored power for rig or sail adjustment</v>
      </c>
      <c r="C142" s="851"/>
      <c r="D142" s="594"/>
      <c r="E142" s="633">
        <v>22.2</v>
      </c>
      <c r="F142" s="594" t="str">
        <f>'Lang Drops'!H111</f>
        <v>Bow thruster</v>
      </c>
      <c r="G142" s="595"/>
    </row>
    <row r="143" spans="1:12" ht="17.25" customHeight="1">
      <c r="A143" s="486" t="s">
        <v>4614</v>
      </c>
      <c r="B143" s="634" t="str">
        <f>'Lang Rig'!N51</f>
        <v>Systems to adjust the mast foot while racing</v>
      </c>
      <c r="C143" s="594"/>
      <c r="D143" s="594"/>
      <c r="E143" s="633"/>
      <c r="F143" s="594"/>
      <c r="G143" s="595"/>
    </row>
    <row r="144" spans="1:12" ht="17.25" customHeight="1">
      <c r="A144" s="486" t="s">
        <v>4614</v>
      </c>
      <c r="B144" s="635" t="str">
        <f>'Lang Rig'!O51</f>
        <v>Systems to adjust the forestay length while racing</v>
      </c>
      <c r="C144" s="636"/>
      <c r="D144" s="636"/>
      <c r="E144" s="636"/>
      <c r="F144" s="945"/>
      <c r="G144" s="946"/>
    </row>
    <row r="145" spans="1:13" s="10" customFormat="1" ht="9" customHeight="1">
      <c r="A145" s="566"/>
      <c r="B145" s="901"/>
      <c r="C145" s="901"/>
      <c r="D145" s="901"/>
      <c r="E145" s="901"/>
      <c r="F145" s="901"/>
      <c r="G145" s="901"/>
      <c r="H145" s="172"/>
      <c r="I145" s="145"/>
      <c r="J145" s="404"/>
      <c r="K145" s="150"/>
      <c r="L145" s="150"/>
      <c r="M145" s="150"/>
    </row>
    <row r="146" spans="1:13" ht="18.75" customHeight="1">
      <c r="A146" s="550">
        <v>20</v>
      </c>
      <c r="B146" s="493" t="str">
        <f>'Lang Other'!E1</f>
        <v>Engine type</v>
      </c>
      <c r="C146" s="492"/>
      <c r="D146" s="948" t="str">
        <f>'Lang Other'!F1</f>
        <v>Engine weight</v>
      </c>
      <c r="E146" s="949"/>
      <c r="F146" s="268"/>
      <c r="G146" s="150" t="s">
        <v>3921</v>
      </c>
      <c r="H146" s="10"/>
      <c r="I146" s="144"/>
      <c r="J146" s="406"/>
      <c r="K146" s="150"/>
      <c r="L146" s="150"/>
      <c r="M146" s="150"/>
    </row>
    <row r="147" spans="1:13" ht="17.25" customHeight="1">
      <c r="A147" s="550"/>
      <c r="B147" s="493" t="str">
        <f>'Lang Other'!G1</f>
        <v>Make, model &amp; horsepower :</v>
      </c>
      <c r="C147" s="780"/>
      <c r="D147" s="781"/>
      <c r="E147" s="781"/>
      <c r="F147" s="781"/>
      <c r="G147" s="782"/>
      <c r="H147" s="144"/>
    </row>
    <row r="148" spans="1:13" ht="21" customHeight="1">
      <c r="A148" s="486"/>
      <c r="B148" s="150" t="str">
        <f>'Lang Other'!H1</f>
        <v>Propeller type</v>
      </c>
      <c r="C148" s="152"/>
      <c r="D148" s="493"/>
      <c r="E148" s="493"/>
      <c r="F148" s="493" t="str">
        <f>'Lang Other'!K1</f>
        <v>No. of propellers</v>
      </c>
      <c r="G148" s="201"/>
      <c r="H148" s="144"/>
      <c r="I148" s="10"/>
    </row>
    <row r="149" spans="1:13" ht="9" customHeight="1">
      <c r="A149" s="153"/>
      <c r="B149" s="10"/>
      <c r="C149" s="10"/>
      <c r="D149" s="10"/>
      <c r="E149" s="10"/>
      <c r="F149" s="10"/>
      <c r="G149" s="10"/>
    </row>
    <row r="150" spans="1:13" ht="28.5" customHeight="1">
      <c r="A150" s="486"/>
      <c r="B150" s="491" t="str">
        <f>'Lang Rig'!N41</f>
        <v>Are OSR* lifelines fitted ?</v>
      </c>
      <c r="C150" s="308" t="s">
        <v>726</v>
      </c>
      <c r="D150" s="150"/>
      <c r="E150" s="493" t="str">
        <f>'Lang Rig'!O41</f>
        <v>*World Sailing Offshore Special Regulation 3.14</v>
      </c>
      <c r="F150" s="493"/>
      <c r="G150" s="493"/>
      <c r="H150" s="309"/>
      <c r="I150" s="10"/>
    </row>
    <row r="151" spans="1:13" ht="9" customHeight="1">
      <c r="A151" s="486"/>
      <c r="B151" s="150"/>
      <c r="C151" s="588"/>
      <c r="D151" s="588"/>
      <c r="E151" s="588"/>
      <c r="F151" s="588"/>
      <c r="G151" s="588"/>
      <c r="H151" s="144"/>
    </row>
    <row r="152" spans="1:13" ht="19.5" customHeight="1">
      <c r="A152" s="550"/>
      <c r="B152" s="763" t="str">
        <f>'Lang Other'!J11</f>
        <v>CHANGES TO ORIGINAL SPECIFICATION / OPTIONAL EXTRAS</v>
      </c>
      <c r="C152" s="763"/>
      <c r="D152" s="763"/>
      <c r="E152" s="763"/>
      <c r="F152" s="763"/>
      <c r="G152" s="763"/>
      <c r="H152" s="596"/>
    </row>
    <row r="153" spans="1:13" ht="19.5" customHeight="1">
      <c r="A153" s="550"/>
      <c r="B153" s="776" t="str">
        <f>'Lang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53" s="776"/>
      <c r="D153" s="776"/>
      <c r="E153" s="776"/>
      <c r="F153" s="776"/>
      <c r="G153" s="776"/>
      <c r="H153" s="597"/>
    </row>
    <row r="154" spans="1:13" ht="15" customHeight="1">
      <c r="A154" s="550"/>
      <c r="B154" s="776"/>
      <c r="C154" s="776"/>
      <c r="D154" s="776"/>
      <c r="E154" s="776"/>
      <c r="F154" s="776"/>
      <c r="G154" s="776"/>
      <c r="H154" s="149"/>
    </row>
    <row r="155" spans="1:13" ht="17.25" customHeight="1">
      <c r="A155" s="550"/>
      <c r="B155" s="776"/>
      <c r="C155" s="776"/>
      <c r="D155" s="776"/>
      <c r="E155" s="776"/>
      <c r="F155" s="776"/>
      <c r="G155" s="776"/>
    </row>
    <row r="156" spans="1:13" ht="17.25" customHeight="1">
      <c r="A156" s="550"/>
      <c r="B156" s="917" t="str">
        <f>'Lang Pay'!I38</f>
        <v>If yes, give details below</v>
      </c>
      <c r="C156" s="917"/>
      <c r="D156" s="917"/>
      <c r="E156" s="598"/>
      <c r="F156" s="598"/>
      <c r="G156" s="598"/>
      <c r="H156" s="138"/>
    </row>
    <row r="157" spans="1:13" ht="15" customHeight="1">
      <c r="A157" s="504"/>
      <c r="B157" s="747"/>
      <c r="C157" s="748"/>
      <c r="D157" s="748"/>
      <c r="E157" s="748"/>
      <c r="F157" s="748"/>
      <c r="G157" s="749"/>
      <c r="H157" s="149"/>
    </row>
    <row r="158" spans="1:13" ht="15" customHeight="1">
      <c r="A158" s="504"/>
      <c r="B158" s="750"/>
      <c r="C158" s="751"/>
      <c r="D158" s="751"/>
      <c r="E158" s="751"/>
      <c r="F158" s="751"/>
      <c r="G158" s="752"/>
      <c r="H158" s="149"/>
    </row>
    <row r="159" spans="1:13" ht="19.5" customHeight="1">
      <c r="A159" s="504"/>
      <c r="B159" s="753"/>
      <c r="C159" s="754"/>
      <c r="D159" s="754"/>
      <c r="E159" s="754"/>
      <c r="F159" s="754"/>
      <c r="G159" s="755"/>
      <c r="H159" s="149"/>
    </row>
    <row r="160" spans="1:13" ht="9" customHeight="1">
      <c r="A160" s="486"/>
      <c r="B160" s="489"/>
      <c r="C160" s="489"/>
      <c r="D160" s="489"/>
      <c r="E160" s="489"/>
      <c r="F160" s="489"/>
      <c r="G160" s="489"/>
      <c r="H160" s="149"/>
    </row>
    <row r="161" spans="1:17" ht="19.5" customHeight="1">
      <c r="A161" s="487" t="s">
        <v>4660</v>
      </c>
      <c r="B161" s="918" t="str">
        <f>'Lang Boat'!E1</f>
        <v>PART 2 - the owner is reponsible for declaring these features</v>
      </c>
      <c r="C161" s="918"/>
      <c r="D161" s="918"/>
      <c r="E161" s="918"/>
      <c r="F161" s="918"/>
      <c r="G161" s="918"/>
      <c r="H161" s="149" t="s">
        <v>4678</v>
      </c>
    </row>
    <row r="162" spans="1:17" s="152" customFormat="1" ht="19.5" customHeight="1">
      <c r="A162" s="487" t="s">
        <v>4674</v>
      </c>
      <c r="B162" s="763" t="str">
        <f>'Lang Hull'!U1</f>
        <v>HULL and APPENDAGES</v>
      </c>
      <c r="C162" s="763"/>
      <c r="D162" s="763"/>
      <c r="E162" s="763"/>
      <c r="F162" s="763"/>
      <c r="G162" s="763"/>
      <c r="H162" s="149"/>
      <c r="J162" s="283"/>
      <c r="Q162" s="150"/>
    </row>
    <row r="163" spans="1:17" ht="17.25" customHeight="1">
      <c r="A163" s="550">
        <v>19</v>
      </c>
      <c r="B163" s="150" t="str">
        <f>'Lang Hull'!O1</f>
        <v>Trim tab(s)</v>
      </c>
      <c r="C163" s="150" t="str">
        <f>'Lang Hull'!P1</f>
        <v>Daggerboards (other than keel)</v>
      </c>
      <c r="D163" s="406"/>
      <c r="E163" s="406"/>
      <c r="F163" s="150" t="str">
        <f>'Lang Hull'!Q1</f>
        <v>Canard/forward rudder</v>
      </c>
      <c r="G163" s="558"/>
      <c r="H163" s="152"/>
    </row>
    <row r="164" spans="1:17" ht="17.25" customHeight="1">
      <c r="A164" s="550"/>
      <c r="B164" s="511"/>
      <c r="C164" s="511"/>
      <c r="D164" s="511"/>
      <c r="E164" s="65"/>
      <c r="F164" s="65"/>
      <c r="G164" s="65"/>
      <c r="H164" s="152"/>
    </row>
    <row r="165" spans="1:17" ht="17.25" customHeight="1">
      <c r="A165" s="550">
        <v>19.600000000000001</v>
      </c>
      <c r="B165" s="777" t="str">
        <f>IF(OR((C307&gt;10),(C307&lt;14)),'Lang Hull'!X28,"")</f>
        <v>Material in keel fin (IRC Rule 19.6)</v>
      </c>
      <c r="C165" s="777"/>
      <c r="D165" s="777"/>
      <c r="E165" s="481"/>
      <c r="F165" s="493" t="s">
        <v>3921</v>
      </c>
      <c r="H165" s="575"/>
    </row>
    <row r="166" spans="1:17" ht="24" customHeight="1">
      <c r="A166" s="486">
        <v>22.2</v>
      </c>
      <c r="B166" s="834" t="str">
        <f>'Lang Hull'!U15</f>
        <v>Hull Hollows: Are there any hollows (concave sections) in the surface of the hull above the waterline in any section at or aft of maximum beam?</v>
      </c>
      <c r="C166" s="834"/>
      <c r="D166" s="834"/>
      <c r="E166" s="834"/>
      <c r="F166" s="150"/>
      <c r="G166" s="577" t="str">
        <f>'Lang Hull'!V15</f>
        <v>If YES please supply photo/drawing</v>
      </c>
    </row>
    <row r="167" spans="1:17" ht="17.25" customHeight="1">
      <c r="A167" s="486"/>
      <c r="B167" s="834"/>
      <c r="C167" s="834"/>
      <c r="D167" s="834"/>
      <c r="E167" s="834"/>
      <c r="F167" s="559"/>
      <c r="G167" s="150"/>
      <c r="H167" s="152"/>
    </row>
    <row r="168" spans="1:17" ht="17.25" customHeight="1">
      <c r="A168" s="486">
        <v>22.3</v>
      </c>
      <c r="B168" s="777" t="str">
        <f>'Lang Hull'!Q28</f>
        <v>Is the yacht fitted with water/variable ballast?</v>
      </c>
      <c r="C168" s="947"/>
      <c r="D168" s="150"/>
      <c r="E168" s="150"/>
      <c r="H168" s="150"/>
      <c r="J168" s="145"/>
    </row>
    <row r="169" spans="1:17" ht="17.25" customHeight="1">
      <c r="A169" s="486"/>
      <c r="B169" s="493" t="str">
        <f>'Lang Hull'!R28</f>
        <v>Max kg water per side</v>
      </c>
      <c r="D169" s="414"/>
      <c r="E169" s="576" t="s">
        <v>3921</v>
      </c>
      <c r="H169" s="150"/>
      <c r="J169" s="145"/>
    </row>
    <row r="170" spans="1:17" ht="17.25" customHeight="1">
      <c r="A170" s="486"/>
      <c r="B170" s="836" t="str">
        <f>'Lang Hull'!I48</f>
        <v>Fore/aft variable ballast</v>
      </c>
      <c r="C170" s="837"/>
      <c r="D170" s="414"/>
      <c r="E170" s="406" t="s">
        <v>3921</v>
      </c>
      <c r="F170" s="667"/>
      <c r="G170" s="10"/>
      <c r="H170" s="150"/>
      <c r="J170" s="145"/>
    </row>
    <row r="171" spans="1:17" ht="17.25" customHeight="1">
      <c r="A171" s="486">
        <v>22.3</v>
      </c>
      <c r="B171" s="493" t="str">
        <f>'Lang Hull'!E48</f>
        <v>Does the boat have a canting keel?</v>
      </c>
      <c r="C171" s="150"/>
      <c r="D171" s="553"/>
      <c r="E171" s="506"/>
      <c r="F171" s="552"/>
      <c r="G171" s="65"/>
      <c r="H171" s="150"/>
      <c r="J171" s="145"/>
    </row>
    <row r="172" spans="1:17" ht="17.25" customHeight="1">
      <c r="A172" s="486"/>
      <c r="B172" s="767" t="str">
        <f>'Lang Hull'!T28</f>
        <v>Canting/moveable ballast, max List Angle with ballast fully to one side. Note do NOT supply for water ballast.</v>
      </c>
      <c r="C172" s="767"/>
      <c r="D172" s="767"/>
      <c r="E172" s="555"/>
      <c r="F172" s="150" t="str">
        <f>'Lang Hull'!V28</f>
        <v>(degrees)</v>
      </c>
      <c r="G172" s="461" t="str">
        <f>IF(C375=2,"Enter List Angle degrees","")</f>
        <v/>
      </c>
      <c r="J172" s="145"/>
    </row>
    <row r="173" spans="1:17" ht="17.25" customHeight="1">
      <c r="A173" s="486"/>
      <c r="B173" s="767"/>
      <c r="C173" s="767"/>
      <c r="D173" s="767"/>
      <c r="E173" s="666"/>
      <c r="F173" s="150"/>
      <c r="G173" s="642"/>
      <c r="J173" s="145"/>
    </row>
    <row r="174" spans="1:17" ht="17.25" customHeight="1">
      <c r="A174" s="486"/>
      <c r="B174" s="766" t="str">
        <f>'Lang Hull'!X38</f>
        <v>Is the boat fitted with foils that create lift?</v>
      </c>
      <c r="C174" s="767"/>
      <c r="D174" s="574"/>
      <c r="E174" s="666"/>
      <c r="F174" s="768" t="s">
        <v>4692</v>
      </c>
      <c r="G174" s="768"/>
      <c r="J174" s="145"/>
    </row>
    <row r="175" spans="1:17" ht="17.25" customHeight="1">
      <c r="A175" s="486"/>
      <c r="B175" s="858" t="str">
        <f>'Lang Hull'!Y38</f>
        <v>If yes, the Rating Authority will contact you for more information and measurements</v>
      </c>
      <c r="C175" s="776"/>
      <c r="D175" s="776"/>
      <c r="E175" s="776"/>
      <c r="F175" s="776"/>
      <c r="G175" s="776"/>
      <c r="J175" s="145"/>
    </row>
    <row r="176" spans="1:17" ht="17.25" customHeight="1">
      <c r="A176" s="486">
        <v>22.2</v>
      </c>
      <c r="B176" s="599" t="str">
        <f>'Lang Drops'!H111</f>
        <v>Bow thruster</v>
      </c>
      <c r="C176" s="600"/>
      <c r="D176" s="600"/>
      <c r="E176" s="600"/>
      <c r="F176" s="600"/>
      <c r="G176" s="600"/>
      <c r="H176" s="309"/>
      <c r="I176" s="10"/>
    </row>
    <row r="177" spans="1:12" ht="9" customHeight="1">
      <c r="A177" s="486"/>
      <c r="B177" s="574"/>
      <c r="C177" s="574"/>
      <c r="D177" s="574"/>
      <c r="E177" s="556"/>
      <c r="F177" s="556"/>
      <c r="G177" s="150"/>
      <c r="H177" s="150"/>
      <c r="J177" s="145"/>
    </row>
    <row r="178" spans="1:12" ht="19.5" customHeight="1">
      <c r="B178" s="764" t="str">
        <f>'Lang Rig'!D1</f>
        <v>RIG and SAILS</v>
      </c>
      <c r="C178" s="764"/>
      <c r="D178" s="764"/>
      <c r="E178" s="764"/>
      <c r="F178" s="764"/>
      <c r="G178" s="764"/>
    </row>
    <row r="179" spans="1:12" ht="19.5" customHeight="1">
      <c r="B179" s="578" t="str">
        <f>'Lang Rig'!G1</f>
        <v>Mizzen or aft mast</v>
      </c>
    </row>
    <row r="180" spans="1:12" ht="17.25" customHeight="1">
      <c r="A180" s="486" t="s">
        <v>4586</v>
      </c>
      <c r="B180" s="10" t="str">
        <f>'Lang Rig'!I51</f>
        <v>Mizzen upper limit</v>
      </c>
      <c r="C180" s="147" t="s">
        <v>390</v>
      </c>
      <c r="D180" s="261"/>
      <c r="E180" s="65"/>
      <c r="F180" s="65"/>
      <c r="G180" s="65"/>
      <c r="H180" s="152"/>
    </row>
    <row r="181" spans="1:12" ht="19.5" customHeight="1">
      <c r="B181" s="10" t="str">
        <f>'Lang Rig'!J51</f>
        <v>Mizzen outer limit</v>
      </c>
      <c r="C181" s="486" t="s">
        <v>392</v>
      </c>
      <c r="D181" s="261"/>
    </row>
    <row r="182" spans="1:12" ht="19.5" customHeight="1">
      <c r="A182" s="173" t="s">
        <v>4585</v>
      </c>
      <c r="B182" s="150" t="str">
        <f>'Lang Rig'!T21</f>
        <v>Mizzen staysail HLU</v>
      </c>
      <c r="C182" s="486" t="s">
        <v>676</v>
      </c>
      <c r="D182" s="261"/>
    </row>
    <row r="183" spans="1:12" ht="19.5" customHeight="1">
      <c r="B183" s="150" t="str">
        <f>'Lang Rig'!S21</f>
        <v>Mizzen staysail HLP</v>
      </c>
      <c r="C183" s="147" t="s">
        <v>3005</v>
      </c>
      <c r="D183" s="261"/>
    </row>
    <row r="184" spans="1:12" ht="9" customHeight="1">
      <c r="A184" s="486"/>
      <c r="B184" s="489"/>
      <c r="C184" s="489"/>
      <c r="D184" s="489"/>
      <c r="E184" s="489"/>
      <c r="F184" s="489"/>
      <c r="G184" s="489"/>
      <c r="H184" s="149"/>
    </row>
    <row r="185" spans="1:12" ht="21" customHeight="1">
      <c r="A185" s="550">
        <v>15.2</v>
      </c>
      <c r="B185" s="759" t="str">
        <f>'Lang Other'!E11</f>
        <v>Does the boat use stored power for the operation or adjustment of running rigging (excluding mainsail halyard or the reefing or furling of sails)?</v>
      </c>
      <c r="C185" s="759"/>
      <c r="D185" s="759"/>
      <c r="E185" s="759"/>
      <c r="F185" s="759"/>
      <c r="G185" s="65"/>
      <c r="H185" s="172"/>
    </row>
    <row r="186" spans="1:12" ht="15" customHeight="1">
      <c r="A186" s="568"/>
      <c r="B186" s="759"/>
      <c r="C186" s="759"/>
      <c r="D186" s="759"/>
      <c r="E186" s="759"/>
      <c r="F186" s="759"/>
      <c r="G186" s="589"/>
    </row>
    <row r="187" spans="1:12" ht="22.5" customHeight="1">
      <c r="A187" s="486" t="s">
        <v>4614</v>
      </c>
      <c r="B187" s="767" t="str">
        <f>'Lang Other'!G11</f>
        <v>MAST FOOT: is your boat fitted with or carrying aboard systems to adjust the mast foot while racing?</v>
      </c>
      <c r="C187" s="767"/>
      <c r="D187" s="767"/>
      <c r="E187" s="767" t="str">
        <f>'Lang Other'!I11</f>
        <v>FORESTAY: is your boat fitted with or carrying aboard systems to adjust the forestay length while racing?</v>
      </c>
      <c r="F187" s="767"/>
      <c r="G187" s="767"/>
      <c r="H187" s="172"/>
      <c r="J187" s="404"/>
      <c r="K187" s="152"/>
      <c r="L187" s="152"/>
    </row>
    <row r="188" spans="1:12" ht="9" customHeight="1">
      <c r="A188" s="486"/>
      <c r="B188" s="767"/>
      <c r="C188" s="767"/>
      <c r="D188" s="767"/>
      <c r="E188" s="767"/>
      <c r="F188" s="767"/>
      <c r="G188" s="767"/>
      <c r="J188" s="405"/>
      <c r="K188" s="152"/>
      <c r="L188" s="152"/>
    </row>
    <row r="189" spans="1:12" ht="15" customHeight="1">
      <c r="A189" s="486"/>
      <c r="B189" s="150"/>
      <c r="C189" s="150"/>
      <c r="D189" s="150"/>
      <c r="E189" s="150"/>
      <c r="F189" s="150"/>
      <c r="G189" s="150"/>
      <c r="J189" s="405"/>
      <c r="K189" s="152"/>
      <c r="L189" s="152"/>
    </row>
    <row r="190" spans="1:12" ht="9" customHeight="1">
      <c r="A190" s="486"/>
      <c r="B190" s="489"/>
      <c r="C190" s="489"/>
      <c r="D190" s="489"/>
      <c r="E190" s="489"/>
      <c r="F190" s="489"/>
      <c r="G190" s="489"/>
      <c r="H190" s="149"/>
    </row>
    <row r="191" spans="1:12" ht="19.5" customHeight="1">
      <c r="A191" s="486"/>
      <c r="B191" s="763" t="str">
        <f>'Lang Other'!L1</f>
        <v>STANDARD FITOUT</v>
      </c>
      <c r="C191" s="763"/>
      <c r="D191" s="763"/>
      <c r="E191" s="763"/>
      <c r="F191" s="763"/>
      <c r="G191" s="763"/>
      <c r="H191" s="171"/>
    </row>
    <row r="192" spans="1:12" ht="17.25" customHeight="1">
      <c r="A192" s="550" t="s">
        <v>4635</v>
      </c>
      <c r="B192" s="65" t="str">
        <f>'Lang Other'!M1</f>
        <v>Please give details of any standard furniture removed or altered</v>
      </c>
      <c r="C192" s="65"/>
      <c r="D192" s="65"/>
      <c r="E192" s="65"/>
      <c r="F192" s="745" t="str">
        <f>'Lang Other'!T1</f>
        <v>Rule ref 22.2.2 (HF+)</v>
      </c>
      <c r="G192" s="745"/>
      <c r="H192" s="309"/>
      <c r="I192" s="10"/>
    </row>
    <row r="193" spans="1:8" ht="17.25" customHeight="1">
      <c r="A193" s="550"/>
      <c r="B193" s="150" t="str">
        <f>'Lang Other'!N1</f>
        <v>Table removed</v>
      </c>
      <c r="C193" s="527"/>
      <c r="D193" s="746" t="str">
        <f>'Lang Other'!O1</f>
        <v>or: non-standard table?</v>
      </c>
      <c r="E193" s="746"/>
      <c r="F193" s="746"/>
      <c r="G193" s="602" t="str">
        <f>'Lang Other'!S1</f>
        <v>If Yes, give details</v>
      </c>
      <c r="H193" s="10"/>
    </row>
    <row r="194" spans="1:8" ht="17.25" customHeight="1">
      <c r="A194" s="550"/>
      <c r="B194" s="150" t="str">
        <f>'Lang Other'!P1</f>
        <v>Door(s) removed?</v>
      </c>
      <c r="C194" s="152"/>
      <c r="D194" s="777" t="str">
        <f>'Lang Other'!Q1</f>
        <v>If Yes, how many?</v>
      </c>
      <c r="E194" s="778"/>
      <c r="F194" s="264"/>
      <c r="G194" s="150"/>
      <c r="H194" s="603"/>
    </row>
    <row r="195" spans="1:8" ht="17.25" customHeight="1">
      <c r="A195" s="550"/>
      <c r="B195" s="150" t="str">
        <f>'Lang Other'!R1</f>
        <v>Other items</v>
      </c>
      <c r="C195" s="152"/>
      <c r="D195" s="308" t="str">
        <f>'Lang Other'!S1</f>
        <v>If Yes, give details</v>
      </c>
      <c r="E195" s="150"/>
      <c r="F195" s="528"/>
      <c r="G195" s="150"/>
      <c r="H195" s="171"/>
    </row>
    <row r="196" spans="1:8" ht="19.5" customHeight="1">
      <c r="A196" s="504"/>
      <c r="B196" s="839"/>
      <c r="C196" s="840"/>
      <c r="D196" s="840"/>
      <c r="E196" s="840"/>
      <c r="F196" s="840"/>
      <c r="G196" s="841"/>
      <c r="H196" s="144"/>
    </row>
    <row r="197" spans="1:8" ht="10.5" customHeight="1">
      <c r="A197" s="504"/>
      <c r="B197" s="842"/>
      <c r="C197" s="843"/>
      <c r="D197" s="843"/>
      <c r="E197" s="843"/>
      <c r="F197" s="843"/>
      <c r="G197" s="844"/>
      <c r="H197" s="154"/>
    </row>
    <row r="198" spans="1:8" ht="9" customHeight="1">
      <c r="A198" s="486"/>
      <c r="B198" s="601"/>
      <c r="C198" s="601"/>
      <c r="D198" s="601"/>
      <c r="E198" s="601"/>
      <c r="F198" s="601"/>
      <c r="G198" s="601"/>
      <c r="H198" s="154"/>
    </row>
    <row r="199" spans="1:8" ht="17.25" customHeight="1">
      <c r="A199" s="567"/>
      <c r="B199" s="765" t="str">
        <f>'Lang Boat'!F1</f>
        <v>PART 3 - ALL BOATS</v>
      </c>
      <c r="C199" s="765"/>
      <c r="D199" s="765"/>
      <c r="E199" s="765"/>
      <c r="F199" s="765"/>
      <c r="G199" s="765"/>
    </row>
    <row r="200" spans="1:8" ht="9" customHeight="1">
      <c r="A200" s="567"/>
      <c r="B200" s="604"/>
      <c r="C200" s="604"/>
      <c r="D200" s="604"/>
      <c r="E200" s="604"/>
      <c r="F200" s="604"/>
      <c r="G200" s="604"/>
    </row>
    <row r="201" spans="1:8" ht="19.5" customHeight="1">
      <c r="A201" s="567"/>
      <c r="B201" s="905" t="str">
        <f>'Lang Other'!K21</f>
        <v>Measurer(s) Name / Number (if applicable)</v>
      </c>
      <c r="C201" s="905"/>
      <c r="D201" s="911"/>
      <c r="E201" s="912"/>
      <c r="F201" s="912"/>
      <c r="G201" s="913"/>
      <c r="H201" s="149"/>
    </row>
    <row r="202" spans="1:8" ht="19.5" customHeight="1">
      <c r="A202" s="567"/>
      <c r="B202" s="905"/>
      <c r="C202" s="905"/>
      <c r="D202" s="911"/>
      <c r="E202" s="912"/>
      <c r="F202" s="912"/>
      <c r="G202" s="913"/>
      <c r="H202" s="149"/>
    </row>
    <row r="203" spans="1:8" ht="9" customHeight="1">
      <c r="A203" s="567"/>
      <c r="B203" s="606"/>
      <c r="C203" s="606"/>
      <c r="D203" s="607"/>
      <c r="E203" s="607"/>
      <c r="F203" s="607"/>
      <c r="G203" s="607"/>
      <c r="H203" s="149"/>
    </row>
    <row r="204" spans="1:8" ht="19.5" customHeight="1">
      <c r="A204" s="486"/>
      <c r="B204" s="763" t="str">
        <f>'Lang Other'!D21</f>
        <v>DECLARATION</v>
      </c>
      <c r="C204" s="763"/>
      <c r="D204" s="763"/>
      <c r="E204" s="763"/>
      <c r="F204" s="763"/>
      <c r="G204" s="763"/>
      <c r="H204" s="149"/>
    </row>
    <row r="205" spans="1:8" ht="17.25" customHeight="1">
      <c r="A205" s="550"/>
      <c r="B205" s="776" t="str">
        <f>'Lang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05" s="776"/>
      <c r="D205" s="776"/>
      <c r="E205" s="776"/>
      <c r="F205" s="776"/>
      <c r="G205" s="776"/>
      <c r="H205" s="310"/>
    </row>
    <row r="206" spans="1:8" ht="17.25" customHeight="1">
      <c r="A206" s="550"/>
      <c r="B206" s="776"/>
      <c r="C206" s="776"/>
      <c r="D206" s="776"/>
      <c r="E206" s="776"/>
      <c r="F206" s="776"/>
      <c r="G206" s="776"/>
      <c r="H206" s="149"/>
    </row>
    <row r="207" spans="1:8" ht="17.25" customHeight="1">
      <c r="A207" s="550"/>
      <c r="B207" s="776"/>
      <c r="C207" s="776"/>
      <c r="D207" s="776"/>
      <c r="E207" s="776"/>
      <c r="F207" s="776"/>
      <c r="G207" s="776"/>
      <c r="H207" s="149"/>
    </row>
    <row r="208" spans="1:8" ht="17.25" customHeight="1">
      <c r="A208" s="550"/>
      <c r="B208" s="771" t="str">
        <f>'Lang Other'!F21</f>
        <v>Tick box to show that you have read and accept the above</v>
      </c>
      <c r="C208" s="771"/>
      <c r="D208" s="771"/>
      <c r="E208" s="492" t="str">
        <f>'Lang Other'!G21</f>
        <v>Name</v>
      </c>
      <c r="F208" s="848"/>
      <c r="G208" s="849"/>
    </row>
    <row r="209" spans="1:17" ht="17.25" customHeight="1">
      <c r="A209" s="550"/>
      <c r="B209" s="152"/>
      <c r="C209" s="152"/>
      <c r="D209" s="152"/>
      <c r="E209" s="492" t="str">
        <f>'Lang Other'!H21</f>
        <v>Date</v>
      </c>
      <c r="F209" s="760"/>
      <c r="G209" s="761"/>
      <c r="J209" s="157"/>
      <c r="K209" s="156"/>
      <c r="L209" s="156"/>
      <c r="M209" s="156"/>
      <c r="N209" s="156"/>
      <c r="O209" s="156"/>
    </row>
    <row r="210" spans="1:17" ht="9" customHeight="1">
      <c r="A210" s="486"/>
      <c r="B210" s="10"/>
      <c r="C210" s="10"/>
      <c r="D210" s="10"/>
      <c r="E210" s="10"/>
      <c r="J210" s="157"/>
      <c r="K210" s="156"/>
      <c r="L210" s="156"/>
      <c r="M210" s="156"/>
      <c r="N210" s="156"/>
      <c r="O210" s="156"/>
    </row>
    <row r="211" spans="1:17" ht="17.25" customHeight="1">
      <c r="A211" s="486"/>
      <c r="B211" s="770" t="str">
        <f>'Lang Other'!F31</f>
        <v>If you would like to receive the Rating Office e-newsletter please subscribe from www.rorcrating.com</v>
      </c>
      <c r="C211" s="770"/>
      <c r="D211" s="770"/>
      <c r="E211" s="770"/>
      <c r="F211" s="770"/>
      <c r="G211" s="770"/>
      <c r="J211" s="157"/>
      <c r="K211" s="156"/>
      <c r="L211" s="156"/>
      <c r="M211" s="156"/>
      <c r="N211" s="156"/>
      <c r="O211" s="156"/>
    </row>
    <row r="212" spans="1:17" ht="9" customHeight="1">
      <c r="A212" s="486"/>
      <c r="B212" s="406"/>
      <c r="C212" s="406"/>
      <c r="D212" s="406"/>
      <c r="E212" s="406"/>
      <c r="F212" s="406"/>
      <c r="G212" s="406"/>
      <c r="J212" s="157"/>
      <c r="K212" s="156"/>
      <c r="L212" s="156"/>
      <c r="M212" s="156"/>
      <c r="N212" s="156"/>
      <c r="O212" s="156"/>
    </row>
    <row r="213" spans="1:17" ht="19.5" customHeight="1">
      <c r="A213" s="550"/>
      <c r="B213" s="763" t="str">
        <f>'Lang Pay'!D1</f>
        <v>OWNER and CONTACT DETAILS</v>
      </c>
      <c r="C213" s="763"/>
      <c r="D213" s="763"/>
      <c r="E213" s="950"/>
      <c r="F213" s="950"/>
      <c r="G213" s="950"/>
      <c r="J213" s="157"/>
      <c r="K213" s="156"/>
      <c r="L213" s="156"/>
      <c r="M213" s="156"/>
      <c r="N213" s="156"/>
      <c r="O213" s="156"/>
    </row>
    <row r="214" spans="1:17" ht="19.5" customHeight="1">
      <c r="A214" s="550"/>
      <c r="B214" s="800" t="str">
        <f>'Lang Pay'!E1</f>
        <v>If owner is a Company, enter Company name in 'Surname/Family name (s)'</v>
      </c>
      <c r="C214" s="800"/>
      <c r="D214" s="800"/>
      <c r="E214" s="800"/>
      <c r="F214" s="800"/>
      <c r="G214" s="800"/>
      <c r="H214" s="605"/>
    </row>
    <row r="215" spans="1:17" ht="19.5" customHeight="1">
      <c r="A215" s="550"/>
      <c r="B215" s="495" t="str">
        <f>'Lang Pay'!F1</f>
        <v>Surname / Family name (s)</v>
      </c>
      <c r="C215" s="845"/>
      <c r="D215" s="846"/>
      <c r="E215" s="846"/>
      <c r="F215" s="846"/>
      <c r="G215" s="847"/>
      <c r="H215" s="152"/>
    </row>
    <row r="216" spans="1:17" ht="19.5" customHeight="1">
      <c r="A216" s="550"/>
      <c r="B216" s="495" t="str">
        <f>'Lang Pay'!G1</f>
        <v>First / given name(s)</v>
      </c>
      <c r="C216" s="830"/>
      <c r="D216" s="831"/>
      <c r="E216" s="831"/>
      <c r="F216" s="831"/>
      <c r="G216" s="832"/>
      <c r="H216" s="10"/>
    </row>
    <row r="217" spans="1:17" s="156" customFormat="1" ht="19.5" customHeight="1">
      <c r="A217" s="550"/>
      <c r="B217" s="529" t="str">
        <f>'Lang Pay'!H1</f>
        <v>User/charterer name if different</v>
      </c>
      <c r="C217" s="756"/>
      <c r="D217" s="757"/>
      <c r="E217" s="757"/>
      <c r="F217" s="757"/>
      <c r="G217" s="758"/>
      <c r="H217" s="10"/>
      <c r="I217" s="145"/>
      <c r="J217" s="146"/>
      <c r="K217" s="145"/>
      <c r="L217" s="145"/>
      <c r="M217" s="145"/>
      <c r="N217" s="145"/>
      <c r="O217" s="145"/>
      <c r="Q217" s="64"/>
    </row>
    <row r="218" spans="1:17" s="156" customFormat="1" ht="19.5" customHeight="1">
      <c r="A218" s="550"/>
      <c r="B218" s="492" t="str">
        <f>'Lang Pay'!I1</f>
        <v>Address for correspondence 1</v>
      </c>
      <c r="C218" s="830"/>
      <c r="D218" s="831"/>
      <c r="E218" s="831"/>
      <c r="F218" s="831"/>
      <c r="G218" s="832"/>
      <c r="H218" s="10"/>
      <c r="I218" s="145"/>
      <c r="J218" s="146"/>
      <c r="K218" s="145"/>
      <c r="L218" s="145"/>
      <c r="M218" s="145"/>
      <c r="N218" s="145"/>
      <c r="O218" s="145"/>
      <c r="Q218" s="64"/>
    </row>
    <row r="219" spans="1:17" s="156" customFormat="1" ht="19.5" customHeight="1">
      <c r="A219" s="550"/>
      <c r="B219" s="492" t="str">
        <f>'Lang Pay'!J1</f>
        <v>Address 2</v>
      </c>
      <c r="C219" s="830"/>
      <c r="D219" s="831"/>
      <c r="E219" s="831"/>
      <c r="F219" s="831"/>
      <c r="G219" s="832"/>
      <c r="H219" s="145"/>
      <c r="I219" s="145"/>
      <c r="J219" s="146"/>
      <c r="K219" s="145"/>
      <c r="L219" s="145"/>
      <c r="M219" s="145"/>
      <c r="N219" s="145"/>
      <c r="O219" s="145"/>
      <c r="Q219" s="64"/>
    </row>
    <row r="220" spans="1:17" s="156" customFormat="1" ht="19.5" customHeight="1">
      <c r="A220" s="550"/>
      <c r="B220" s="492" t="str">
        <f>'Lang Pay'!K1</f>
        <v>Address 3</v>
      </c>
      <c r="C220" s="830"/>
      <c r="D220" s="831"/>
      <c r="E220" s="831"/>
      <c r="F220" s="831"/>
      <c r="G220" s="832"/>
      <c r="H220" s="145"/>
      <c r="I220" s="145"/>
      <c r="J220" s="146"/>
      <c r="K220" s="145"/>
      <c r="L220" s="145"/>
      <c r="M220" s="145"/>
      <c r="N220" s="145"/>
      <c r="O220" s="145"/>
      <c r="Q220" s="64"/>
    </row>
    <row r="221" spans="1:17" ht="19.5" customHeight="1">
      <c r="A221" s="550"/>
      <c r="B221" s="492" t="s">
        <v>4827</v>
      </c>
      <c r="C221" s="830"/>
      <c r="D221" s="831"/>
      <c r="E221" s="831"/>
      <c r="F221" s="831"/>
      <c r="G221" s="832"/>
      <c r="H221" s="155"/>
    </row>
    <row r="222" spans="1:17" ht="19.5" customHeight="1">
      <c r="A222" s="550"/>
      <c r="B222" s="492" t="str">
        <f>'Lang Pay'!M1</f>
        <v>Post / zip code</v>
      </c>
      <c r="C222" s="830"/>
      <c r="D222" s="831"/>
      <c r="E222" s="832"/>
      <c r="F222" s="530" t="str">
        <f>'Lang Pay'!P1</f>
        <v>Telephone</v>
      </c>
      <c r="G222" s="260"/>
      <c r="H222" s="10"/>
    </row>
    <row r="223" spans="1:17" ht="19.5" customHeight="1">
      <c r="A223" s="550"/>
      <c r="B223" s="492" t="str">
        <f>'Lang Pay'!U1</f>
        <v>Residential Geographic Area*</v>
      </c>
      <c r="C223" s="953"/>
      <c r="D223" s="953"/>
      <c r="E223" s="953"/>
      <c r="F223" s="492" t="str">
        <f>'Lang Pay'!Q1</f>
        <v>Mobile</v>
      </c>
      <c r="G223" s="260"/>
      <c r="H223" s="139"/>
    </row>
    <row r="224" spans="1:17" ht="19.5" customHeight="1">
      <c r="A224" s="550"/>
      <c r="B224" s="492" t="str">
        <f>'Lang Pay'!N1</f>
        <v>Country</v>
      </c>
      <c r="C224" s="954"/>
      <c r="D224" s="954"/>
      <c r="E224" s="954"/>
      <c r="F224" s="593"/>
      <c r="G224" s="608"/>
      <c r="H224" s="139"/>
    </row>
    <row r="225" spans="1:17" ht="19.5" customHeight="1">
      <c r="A225" s="550"/>
      <c r="B225" s="495" t="str">
        <f>'Lang Pay'!O1</f>
        <v>E-mail address</v>
      </c>
      <c r="C225" s="902"/>
      <c r="D225" s="903"/>
      <c r="E225" s="903"/>
      <c r="F225" s="903"/>
      <c r="G225" s="904"/>
      <c r="H225" s="139"/>
    </row>
    <row r="226" spans="1:17" ht="19.5" customHeight="1">
      <c r="A226" s="550"/>
      <c r="B226" s="951" t="str">
        <f>'Lang Other'!I21</f>
        <v>The IRC Rating Authority will never supply IRC owner contact details to third parties</v>
      </c>
      <c r="C226" s="952"/>
      <c r="D226" s="952"/>
      <c r="E226" s="952"/>
      <c r="F226" s="952"/>
      <c r="G226" s="952"/>
      <c r="H226" s="139"/>
    </row>
    <row r="227" spans="1:17" ht="19.5" customHeight="1">
      <c r="A227" s="550"/>
      <c r="B227" s="833" t="str">
        <f>'Lang Pay'!S1</f>
        <v>Please select your RATING AUTHORITY and SAILING AREA from the boxes below:</v>
      </c>
      <c r="C227" s="833"/>
      <c r="D227" s="833"/>
      <c r="E227" s="833"/>
      <c r="F227" s="833"/>
      <c r="G227" s="833"/>
      <c r="H227" s="309"/>
    </row>
    <row r="228" spans="1:17" ht="19.5" customHeight="1">
      <c r="A228" s="550"/>
      <c r="B228" s="138" t="s">
        <v>4656</v>
      </c>
      <c r="C228" s="727"/>
      <c r="D228" s="727"/>
      <c r="E228" s="712"/>
      <c r="F228" s="712"/>
      <c r="G228" s="156"/>
      <c r="H228" s="716" t="s">
        <v>4305</v>
      </c>
      <c r="I228" s="156"/>
    </row>
    <row r="229" spans="1:17" ht="19.5" customHeight="1">
      <c r="A229" s="550"/>
      <c r="B229" s="728" t="str">
        <f>'Lang Pay'!T1</f>
        <v>Sailing area - country/region</v>
      </c>
      <c r="C229" s="727"/>
      <c r="D229" s="712"/>
      <c r="E229" s="728"/>
      <c r="F229" s="727"/>
      <c r="G229" s="729" t="s">
        <v>4828</v>
      </c>
      <c r="H229" s="716" t="s">
        <v>4306</v>
      </c>
      <c r="I229" s="156"/>
    </row>
    <row r="230" spans="1:17" ht="19.5" customHeight="1">
      <c r="A230" s="550"/>
      <c r="B230" s="714" t="str">
        <f>'Lang Pay'!D15</f>
        <v>RORC member No. if applicable</v>
      </c>
      <c r="C230" s="915"/>
      <c r="D230" s="916"/>
      <c r="E230" s="712"/>
      <c r="F230" s="730" t="s">
        <v>4829</v>
      </c>
      <c r="G230" s="711"/>
      <c r="H230" s="717" t="s">
        <v>3821</v>
      </c>
      <c r="I230" s="156"/>
    </row>
    <row r="231" spans="1:17" ht="19.5" customHeight="1">
      <c r="A231" s="550"/>
      <c r="B231" s="14" t="str">
        <f>'Lang Pay'!T15</f>
        <v>UNCL member No. if applicable</v>
      </c>
      <c r="C231" s="780"/>
      <c r="D231" s="782"/>
      <c r="E231" s="712"/>
      <c r="F231" s="712"/>
      <c r="G231" s="731" t="s">
        <v>4830</v>
      </c>
      <c r="H231" s="937" t="s">
        <v>4831</v>
      </c>
      <c r="I231" s="937"/>
    </row>
    <row r="232" spans="1:17" ht="19.5" customHeight="1">
      <c r="A232" s="550"/>
      <c r="B232" s="775" t="str">
        <f>'Lang Pay'!E15</f>
        <v>To request a Yearbook contact your Rule Authority</v>
      </c>
      <c r="C232" s="775"/>
      <c r="D232" s="775"/>
      <c r="E232" s="762" t="str">
        <f>'Lang Pay'!U15</f>
        <v>Online Yearbook at www.ircrating.org</v>
      </c>
      <c r="F232" s="762"/>
      <c r="G232" s="762"/>
      <c r="H232" s="10"/>
    </row>
    <row r="233" spans="1:17" s="385" customFormat="1" ht="19.5" hidden="1" customHeight="1">
      <c r="A233" s="743"/>
      <c r="B233" s="769"/>
      <c r="C233" s="769"/>
      <c r="D233" s="769"/>
      <c r="E233" s="769"/>
      <c r="F233" s="769"/>
      <c r="G233" s="769"/>
      <c r="H233" s="690"/>
      <c r="J233" s="478"/>
      <c r="Q233" s="387"/>
    </row>
    <row r="234" spans="1:17" s="385" customFormat="1" ht="19.5" hidden="1" customHeight="1">
      <c r="A234" s="743"/>
      <c r="B234" s="14"/>
      <c r="C234" s="772"/>
      <c r="D234" s="772"/>
      <c r="E234" s="772"/>
      <c r="F234" s="772"/>
      <c r="G234" s="772"/>
      <c r="H234" s="690"/>
      <c r="J234" s="478"/>
      <c r="Q234" s="387"/>
    </row>
    <row r="235" spans="1:17" s="385" customFormat="1" ht="19.5" hidden="1" customHeight="1">
      <c r="A235" s="743"/>
      <c r="B235" s="14"/>
      <c r="C235" s="914"/>
      <c r="D235" s="914"/>
      <c r="E235" s="744"/>
      <c r="F235" s="744"/>
      <c r="G235" s="723"/>
      <c r="H235" s="308"/>
      <c r="J235" s="478"/>
      <c r="Q235" s="387"/>
    </row>
    <row r="236" spans="1:17" s="385" customFormat="1" ht="19.5" hidden="1" customHeight="1">
      <c r="A236" s="743"/>
      <c r="B236" s="14"/>
      <c r="C236" s="724"/>
      <c r="D236" s="715"/>
      <c r="E236" s="715"/>
      <c r="F236" s="715"/>
      <c r="G236" s="715"/>
      <c r="H236" s="715"/>
      <c r="J236" s="478"/>
      <c r="Q236" s="387"/>
    </row>
    <row r="237" spans="1:17" s="385" customFormat="1" ht="9" customHeight="1">
      <c r="A237" s="610"/>
      <c r="B237" s="479"/>
      <c r="C237" s="725"/>
      <c r="D237" s="488"/>
      <c r="E237" s="488"/>
      <c r="F237" s="488"/>
      <c r="G237" s="488"/>
      <c r="H237" s="488"/>
      <c r="J237" s="478"/>
      <c r="Q237" s="387"/>
    </row>
    <row r="238" spans="1:17" s="385" customFormat="1" ht="19.5" customHeight="1">
      <c r="A238" s="609"/>
      <c r="B238" s="939" t="s">
        <v>4826</v>
      </c>
      <c r="C238" s="939"/>
      <c r="D238" s="940"/>
      <c r="E238" s="940"/>
      <c r="F238" s="940"/>
      <c r="G238" s="940"/>
      <c r="H238" s="172"/>
      <c r="J238" s="386"/>
      <c r="Q238" s="387"/>
    </row>
    <row r="239" spans="1:17" ht="9" customHeight="1">
      <c r="A239" s="570"/>
      <c r="B239" s="156"/>
      <c r="C239" s="156"/>
      <c r="D239" s="156"/>
      <c r="E239" s="156"/>
      <c r="F239" s="156"/>
      <c r="G239" s="156"/>
    </row>
    <row r="240" spans="1:17" ht="16.5" hidden="1" customHeight="1">
      <c r="A240" s="570"/>
      <c r="B240" s="944"/>
      <c r="C240" s="833"/>
      <c r="D240" s="833"/>
      <c r="E240" s="833"/>
      <c r="F240" s="833"/>
      <c r="G240" s="833"/>
    </row>
    <row r="241" spans="1:11" ht="16.5" hidden="1" customHeight="1">
      <c r="A241" s="570"/>
      <c r="B241" s="156"/>
      <c r="C241" s="156"/>
      <c r="D241" s="156"/>
      <c r="E241" s="156"/>
      <c r="F241" s="156"/>
      <c r="G241" s="156"/>
    </row>
    <row r="242" spans="1:11" ht="32.25" customHeight="1">
      <c r="A242" s="570"/>
      <c r="B242" s="941" t="s">
        <v>4834</v>
      </c>
      <c r="C242" s="942"/>
      <c r="D242" s="942"/>
      <c r="E242" s="942"/>
      <c r="F242" s="942"/>
      <c r="G242" s="943"/>
    </row>
    <row r="243" spans="1:11" ht="9" customHeight="1">
      <c r="A243" s="570"/>
      <c r="B243" s="156"/>
      <c r="C243" s="156"/>
      <c r="D243" s="156"/>
      <c r="E243" s="156"/>
      <c r="F243" s="156"/>
      <c r="G243" s="156"/>
    </row>
    <row r="244" spans="1:11" ht="15.75" hidden="1" customHeight="1">
      <c r="A244" s="570"/>
      <c r="B244" s="156"/>
      <c r="C244" s="156"/>
      <c r="D244" s="156"/>
      <c r="E244" s="156"/>
      <c r="F244" s="156"/>
      <c r="G244" s="156"/>
    </row>
    <row r="245" spans="1:11" ht="15.75" hidden="1" customHeight="1">
      <c r="A245" s="570"/>
      <c r="B245" s="712"/>
      <c r="C245" s="726"/>
      <c r="D245" s="726"/>
      <c r="E245" s="726"/>
      <c r="F245" s="726"/>
      <c r="G245" s="726"/>
      <c r="H245" s="149"/>
    </row>
    <row r="246" spans="1:11" ht="17.25" hidden="1" customHeight="1">
      <c r="A246" s="570"/>
      <c r="B246" s="712"/>
      <c r="C246" s="726"/>
      <c r="D246" s="726"/>
      <c r="E246" s="726"/>
      <c r="F246" s="726"/>
      <c r="G246" s="726"/>
      <c r="H246" s="149"/>
    </row>
    <row r="247" spans="1:11" ht="19.5" customHeight="1">
      <c r="A247" s="570"/>
      <c r="B247" s="712"/>
      <c r="C247" s="926" t="str">
        <f>IF(C349=2,"EXPEDITED Fee $ ","Fee $ ")</f>
        <v xml:space="preserve">Fee $ </v>
      </c>
      <c r="D247" s="926"/>
      <c r="E247" s="926"/>
      <c r="F247" s="718">
        <f>B291</f>
        <v>0</v>
      </c>
      <c r="G247" s="712" t="s">
        <v>4833</v>
      </c>
      <c r="H247" s="506"/>
    </row>
    <row r="248" spans="1:11" ht="9" customHeight="1">
      <c r="A248" s="570"/>
      <c r="B248" s="712"/>
      <c r="C248" s="712"/>
      <c r="D248" s="532"/>
      <c r="E248" s="532"/>
      <c r="F248" s="720">
        <f>IF(C345=2,F249-F247,0)</f>
        <v>0</v>
      </c>
      <c r="G248" s="719" t="str">
        <f>'Lang Pay'!E27</f>
        <v>VAT if applicable*</v>
      </c>
      <c r="H248" s="611"/>
      <c r="J248" s="273"/>
      <c r="K248" s="152"/>
    </row>
    <row r="249" spans="1:11" ht="19.5" hidden="1" customHeight="1">
      <c r="A249" s="570"/>
      <c r="B249" s="712"/>
      <c r="C249" s="712"/>
      <c r="D249" s="532"/>
      <c r="E249" s="532"/>
      <c r="F249" s="721">
        <f>IF(C345=2,F247*1.2,0)</f>
        <v>0</v>
      </c>
      <c r="G249" s="719" t="str">
        <f>'Lang Pay'!F27</f>
        <v>Total if VAT applies*</v>
      </c>
      <c r="H249" s="152"/>
    </row>
    <row r="250" spans="1:11" ht="51.75" customHeight="1">
      <c r="A250" s="570"/>
      <c r="B250" s="934" t="s">
        <v>4832</v>
      </c>
      <c r="C250" s="935"/>
      <c r="D250" s="935"/>
      <c r="E250" s="935"/>
      <c r="F250" s="935"/>
      <c r="G250" s="935"/>
    </row>
    <row r="251" spans="1:11" ht="87" customHeight="1">
      <c r="A251" s="570"/>
      <c r="B251" s="934" t="s">
        <v>4836</v>
      </c>
      <c r="C251" s="935"/>
      <c r="D251" s="935"/>
      <c r="E251" s="935"/>
      <c r="F251" s="935"/>
      <c r="G251" s="935"/>
      <c r="H251" s="612"/>
    </row>
    <row r="252" spans="1:11" ht="9" customHeight="1">
      <c r="A252" s="570"/>
      <c r="B252" s="871"/>
      <c r="C252" s="871"/>
      <c r="D252" s="871"/>
      <c r="E252" s="871"/>
      <c r="F252" s="871"/>
      <c r="G252" s="712"/>
      <c r="H252" s="524"/>
    </row>
    <row r="253" spans="1:11" ht="19.5" customHeight="1">
      <c r="A253" s="570"/>
      <c r="B253" s="922" t="s">
        <v>4835</v>
      </c>
      <c r="C253" s="922"/>
      <c r="D253" s="922"/>
      <c r="E253" s="922"/>
      <c r="F253" s="922"/>
      <c r="G253" s="713"/>
      <c r="H253" s="612"/>
    </row>
    <row r="254" spans="1:11" ht="15.75">
      <c r="A254" s="486"/>
      <c r="B254" s="907" t="str">
        <f>'Lang Other'!D31</f>
        <v>Your certificate will be e-mailed in PDF format to the email address supplied.</v>
      </c>
      <c r="C254" s="907"/>
      <c r="D254" s="907"/>
      <c r="E254" s="907"/>
      <c r="F254" s="907"/>
      <c r="G254" s="907"/>
      <c r="H254" s="149"/>
    </row>
    <row r="255" spans="1:11" ht="15.75">
      <c r="B255" s="872" t="str">
        <f>IF(C355&lt;5,B495&amp;" 31/12/2018",B495&amp;" 31/5/2019")</f>
        <v>IRC Certificates Expire  31/12/2018</v>
      </c>
      <c r="C255" s="872"/>
      <c r="D255" s="872"/>
      <c r="E255" s="872"/>
      <c r="F255" s="872"/>
      <c r="G255" s="872"/>
      <c r="H255" s="149"/>
    </row>
    <row r="256" spans="1:11" ht="19.5" customHeight="1">
      <c r="B256" s="927" t="str">
        <f>'Lang Header'!M1</f>
        <v>Please refer to the VALIDATION SHEET for data checking before sending your form.</v>
      </c>
      <c r="C256" s="928"/>
      <c r="D256" s="928"/>
      <c r="E256" s="928"/>
      <c r="F256" s="928"/>
      <c r="G256" s="929"/>
      <c r="H256" s="149"/>
    </row>
    <row r="257" spans="2:9" ht="19.5" customHeight="1">
      <c r="B257" s="930"/>
      <c r="C257" s="931"/>
      <c r="D257" s="931"/>
      <c r="E257" s="931"/>
      <c r="F257" s="931"/>
      <c r="G257" s="932"/>
      <c r="H257" s="149"/>
    </row>
    <row r="258" spans="2:9" ht="9" customHeight="1">
      <c r="B258" s="722"/>
      <c r="C258" s="722"/>
      <c r="D258" s="722"/>
      <c r="E258" s="722"/>
      <c r="F258" s="722"/>
      <c r="G258" s="722"/>
      <c r="H258" s="149"/>
    </row>
    <row r="259" spans="2:9" ht="19.5" customHeight="1">
      <c r="B259" s="919" t="str">
        <f>'Lang Pay'!M27</f>
        <v>ADDITIONAL COMMENTS/NOTES: attach a separate document if necessary</v>
      </c>
      <c r="C259" s="920"/>
      <c r="D259" s="920"/>
      <c r="E259" s="920"/>
      <c r="F259" s="920"/>
      <c r="G259" s="921"/>
      <c r="I259" s="259"/>
    </row>
    <row r="260" spans="2:9" ht="12.75">
      <c r="B260" s="908"/>
      <c r="C260" s="909"/>
      <c r="D260" s="909"/>
      <c r="E260" s="909"/>
      <c r="F260" s="909"/>
      <c r="G260" s="910"/>
    </row>
    <row r="261" spans="2:9" ht="12.75">
      <c r="B261" s="868"/>
      <c r="C261" s="869"/>
      <c r="D261" s="869"/>
      <c r="E261" s="869"/>
      <c r="F261" s="869"/>
      <c r="G261" s="870"/>
    </row>
    <row r="262" spans="2:9" ht="12.75">
      <c r="B262" s="868"/>
      <c r="C262" s="869"/>
      <c r="D262" s="869"/>
      <c r="E262" s="869"/>
      <c r="F262" s="869"/>
      <c r="G262" s="870"/>
      <c r="H262" s="936"/>
    </row>
    <row r="263" spans="2:9" ht="12.75">
      <c r="B263" s="868"/>
      <c r="C263" s="869"/>
      <c r="D263" s="869"/>
      <c r="E263" s="869"/>
      <c r="F263" s="869"/>
      <c r="G263" s="870"/>
      <c r="H263" s="936"/>
    </row>
    <row r="264" spans="2:9" ht="12.75">
      <c r="B264" s="868"/>
      <c r="C264" s="869"/>
      <c r="D264" s="869"/>
      <c r="E264" s="869"/>
      <c r="F264" s="869"/>
      <c r="G264" s="870"/>
      <c r="H264" s="936"/>
    </row>
    <row r="265" spans="2:9" ht="12.75">
      <c r="B265" s="868"/>
      <c r="C265" s="869"/>
      <c r="D265" s="869"/>
      <c r="E265" s="869"/>
      <c r="F265" s="869"/>
      <c r="G265" s="870"/>
      <c r="H265" s="936"/>
    </row>
    <row r="266" spans="2:9" ht="15.75">
      <c r="B266" s="868"/>
      <c r="C266" s="869"/>
      <c r="D266" s="869"/>
      <c r="E266" s="869"/>
      <c r="F266" s="869"/>
      <c r="G266" s="870"/>
      <c r="H266" s="158"/>
    </row>
    <row r="267" spans="2:9" ht="12.75">
      <c r="B267" s="868"/>
      <c r="C267" s="869"/>
      <c r="D267" s="869"/>
      <c r="E267" s="869"/>
      <c r="F267" s="869"/>
      <c r="G267" s="870"/>
    </row>
    <row r="268" spans="2:9" ht="12.75">
      <c r="B268" s="868"/>
      <c r="C268" s="869"/>
      <c r="D268" s="869"/>
      <c r="E268" s="869"/>
      <c r="F268" s="869"/>
      <c r="G268" s="870"/>
    </row>
    <row r="269" spans="2:9" ht="12.75">
      <c r="B269" s="868"/>
      <c r="C269" s="869"/>
      <c r="D269" s="869"/>
      <c r="E269" s="869"/>
      <c r="F269" s="869"/>
      <c r="G269" s="870"/>
      <c r="H269" s="10"/>
    </row>
    <row r="270" spans="2:9" ht="12.75">
      <c r="B270" s="868"/>
      <c r="C270" s="869"/>
      <c r="D270" s="869"/>
      <c r="E270" s="869"/>
      <c r="F270" s="869"/>
      <c r="G270" s="870"/>
      <c r="H270" s="10"/>
    </row>
    <row r="271" spans="2:9" ht="12.75">
      <c r="B271" s="868"/>
      <c r="C271" s="869"/>
      <c r="D271" s="869"/>
      <c r="E271" s="869"/>
      <c r="F271" s="869"/>
      <c r="G271" s="870"/>
    </row>
    <row r="272" spans="2:9" ht="12.75">
      <c r="B272" s="868"/>
      <c r="C272" s="869"/>
      <c r="D272" s="869"/>
      <c r="E272" s="869"/>
      <c r="F272" s="869"/>
      <c r="G272" s="870"/>
    </row>
    <row r="273" spans="2:15" ht="12.75">
      <c r="B273" s="868"/>
      <c r="C273" s="869"/>
      <c r="D273" s="869"/>
      <c r="E273" s="869"/>
      <c r="F273" s="869"/>
      <c r="G273" s="870"/>
    </row>
    <row r="274" spans="2:15" ht="12.75">
      <c r="B274" s="868"/>
      <c r="C274" s="869"/>
      <c r="D274" s="869"/>
      <c r="E274" s="869"/>
      <c r="F274" s="869"/>
      <c r="G274" s="870"/>
    </row>
    <row r="275" spans="2:15" ht="12.75">
      <c r="B275" s="868"/>
      <c r="C275" s="869"/>
      <c r="D275" s="869"/>
      <c r="E275" s="869"/>
      <c r="F275" s="869"/>
      <c r="G275" s="870"/>
    </row>
    <row r="276" spans="2:15" ht="12.75">
      <c r="B276" s="868"/>
      <c r="C276" s="869"/>
      <c r="D276" s="869"/>
      <c r="E276" s="869"/>
      <c r="F276" s="869"/>
      <c r="G276" s="870"/>
    </row>
    <row r="277" spans="2:15" ht="12.75">
      <c r="B277" s="868"/>
      <c r="C277" s="869"/>
      <c r="D277" s="869"/>
      <c r="E277" s="869"/>
      <c r="F277" s="869"/>
      <c r="G277" s="870"/>
    </row>
    <row r="278" spans="2:15" ht="12.75">
      <c r="B278" s="868"/>
      <c r="C278" s="869"/>
      <c r="D278" s="869"/>
      <c r="E278" s="869"/>
      <c r="F278" s="869"/>
      <c r="G278" s="870"/>
    </row>
    <row r="279" spans="2:15" ht="12.75">
      <c r="B279" s="868"/>
      <c r="C279" s="869"/>
      <c r="D279" s="869"/>
      <c r="E279" s="869"/>
      <c r="F279" s="869"/>
      <c r="G279" s="870"/>
      <c r="H279" s="165"/>
    </row>
    <row r="280" spans="2:15" ht="12.75">
      <c r="B280" s="868"/>
      <c r="C280" s="869"/>
      <c r="D280" s="869"/>
      <c r="E280" s="869"/>
      <c r="F280" s="869"/>
      <c r="G280" s="870"/>
    </row>
    <row r="281" spans="2:15" ht="12.75">
      <c r="B281" s="868"/>
      <c r="C281" s="869"/>
      <c r="D281" s="869"/>
      <c r="E281" s="869"/>
      <c r="F281" s="869"/>
      <c r="G281" s="870"/>
      <c r="J281" s="384"/>
      <c r="K281" s="150"/>
      <c r="L281" s="150"/>
      <c r="M281" s="150"/>
      <c r="N281" s="150"/>
    </row>
    <row r="282" spans="2:15" ht="12" customHeight="1">
      <c r="B282" s="906"/>
      <c r="C282" s="906"/>
      <c r="D282" s="906"/>
      <c r="E282" s="906"/>
      <c r="F282" s="906"/>
      <c r="G282" s="906"/>
      <c r="J282" s="384"/>
      <c r="K282" s="150"/>
      <c r="L282" s="150"/>
      <c r="M282" s="150"/>
      <c r="N282" s="150"/>
    </row>
    <row r="283" spans="2:15" ht="12" hidden="1" customHeight="1">
      <c r="B283" s="156"/>
      <c r="C283" s="176"/>
      <c r="D283" s="156"/>
      <c r="E283" s="156"/>
      <c r="G283" s="120"/>
      <c r="J283" s="613"/>
      <c r="K283" s="614"/>
      <c r="L283" s="613"/>
      <c r="M283" s="613"/>
      <c r="N283" s="615"/>
      <c r="O283" s="120"/>
    </row>
    <row r="284" spans="2:15" ht="12" hidden="1" customHeight="1">
      <c r="B284" s="734" t="s">
        <v>4686</v>
      </c>
      <c r="C284" s="734"/>
      <c r="D284" s="735">
        <v>25.93</v>
      </c>
      <c r="E284" s="736" t="s">
        <v>3253</v>
      </c>
      <c r="F284" s="933" t="s">
        <v>4694</v>
      </c>
      <c r="G284" s="933"/>
      <c r="J284" s="616"/>
      <c r="K284" s="400"/>
      <c r="L284" s="617"/>
      <c r="M284" s="400"/>
      <c r="N284" s="615"/>
      <c r="O284" s="120"/>
    </row>
    <row r="285" spans="2:15" ht="12" hidden="1" customHeight="1">
      <c r="B285" s="734" t="s">
        <v>4687</v>
      </c>
      <c r="C285" s="734"/>
      <c r="D285" s="735">
        <v>27.29</v>
      </c>
      <c r="E285" s="736" t="s">
        <v>3253</v>
      </c>
      <c r="F285" s="933"/>
      <c r="G285" s="933"/>
      <c r="J285" s="616"/>
      <c r="K285" s="400"/>
      <c r="L285" s="617"/>
      <c r="M285" s="400"/>
      <c r="N285" s="615"/>
      <c r="O285" s="120"/>
    </row>
    <row r="286" spans="2:15" ht="12" hidden="1" customHeight="1">
      <c r="B286" s="734" t="s">
        <v>3254</v>
      </c>
      <c r="C286" s="734"/>
      <c r="D286" s="735">
        <v>37.21</v>
      </c>
      <c r="E286" s="734" t="s">
        <v>3253</v>
      </c>
      <c r="F286" s="933"/>
      <c r="G286" s="933"/>
      <c r="J286" s="616"/>
      <c r="K286" s="400"/>
      <c r="L286" s="617"/>
      <c r="M286" s="400"/>
      <c r="N286" s="615"/>
      <c r="O286" s="120"/>
    </row>
    <row r="287" spans="2:15" ht="12" hidden="1" customHeight="1">
      <c r="B287" s="156"/>
      <c r="C287" s="156"/>
      <c r="D287" s="156"/>
      <c r="E287" s="156"/>
      <c r="F287" s="156"/>
      <c r="G287" s="156"/>
      <c r="J287" s="613"/>
      <c r="K287" s="613"/>
      <c r="L287" s="613"/>
      <c r="M287" s="613"/>
      <c r="N287" s="613"/>
      <c r="O287" s="156"/>
    </row>
    <row r="288" spans="2:15" ht="12" hidden="1" customHeight="1">
      <c r="B288" s="737" t="s">
        <v>1045</v>
      </c>
      <c r="C288" s="864"/>
      <c r="D288" s="864"/>
      <c r="E288" s="864"/>
      <c r="F288" s="865"/>
      <c r="G288" s="156"/>
      <c r="J288" s="618"/>
      <c r="K288" s="613"/>
      <c r="L288" s="613"/>
      <c r="M288" s="613"/>
      <c r="N288" s="613"/>
      <c r="O288" s="156"/>
    </row>
    <row r="289" spans="1:15" ht="12" hidden="1" customHeight="1">
      <c r="B289" s="738">
        <f>D43</f>
        <v>0</v>
      </c>
      <c r="C289" s="866" t="s">
        <v>159</v>
      </c>
      <c r="D289" s="866"/>
      <c r="E289" s="866"/>
      <c r="F289" s="867"/>
      <c r="G289" s="160"/>
      <c r="J289" s="619"/>
      <c r="K289" s="613"/>
      <c r="L289" s="613"/>
      <c r="M289" s="613"/>
      <c r="N289" s="613"/>
      <c r="O289" s="161"/>
    </row>
    <row r="290" spans="1:15" ht="12" hidden="1" customHeight="1">
      <c r="B290" s="739">
        <f>IF(B289&gt;11.99,IF(B289&gt;17.99,ROUND(B289*D286,2),ROUND(B289*D285,2)),ROUND(B289*D284,2))</f>
        <v>0</v>
      </c>
      <c r="C290" s="866" t="s">
        <v>3868</v>
      </c>
      <c r="D290" s="866"/>
      <c r="E290" s="866"/>
      <c r="F290" s="867"/>
      <c r="G290" s="160"/>
      <c r="J290" s="619"/>
      <c r="K290" s="613"/>
      <c r="L290" s="613"/>
      <c r="M290" s="613"/>
      <c r="N290" s="613"/>
      <c r="O290" s="160"/>
    </row>
    <row r="291" spans="1:15" ht="12" hidden="1" customHeight="1">
      <c r="B291" s="738">
        <f>IF(C349=2,B290*2,B290)</f>
        <v>0</v>
      </c>
      <c r="C291" s="866" t="s">
        <v>1044</v>
      </c>
      <c r="D291" s="866"/>
      <c r="E291" s="866"/>
      <c r="F291" s="867"/>
      <c r="G291" s="160"/>
      <c r="J291" s="619"/>
      <c r="K291" s="613"/>
      <c r="L291" s="613"/>
      <c r="M291" s="613"/>
      <c r="N291" s="613"/>
      <c r="O291" s="160"/>
    </row>
    <row r="292" spans="1:15" ht="12" hidden="1" customHeight="1">
      <c r="B292" s="740"/>
      <c r="C292" s="873" t="s">
        <v>4062</v>
      </c>
      <c r="D292" s="873"/>
      <c r="E292" s="873"/>
      <c r="F292" s="874"/>
      <c r="G292" s="160"/>
      <c r="J292" s="613"/>
      <c r="K292" s="620"/>
      <c r="L292" s="620"/>
      <c r="M292" s="620"/>
      <c r="N292" s="620"/>
      <c r="O292" s="160"/>
    </row>
    <row r="293" spans="1:15" ht="12" hidden="1" customHeight="1">
      <c r="B293" s="156"/>
      <c r="C293" s="156"/>
      <c r="D293" s="156"/>
      <c r="E293" s="156"/>
      <c r="F293" s="156"/>
      <c r="G293" s="156"/>
      <c r="J293" s="384"/>
      <c r="K293" s="150"/>
      <c r="L293" s="150"/>
      <c r="M293" s="150"/>
      <c r="N293" s="150"/>
    </row>
    <row r="294" spans="1:15" ht="12" hidden="1" customHeight="1">
      <c r="B294" s="741" t="s">
        <v>194</v>
      </c>
      <c r="C294" s="861" t="s">
        <v>4688</v>
      </c>
      <c r="D294" s="862"/>
      <c r="E294" s="863"/>
      <c r="F294" s="742" t="s">
        <v>1353</v>
      </c>
      <c r="G294" s="156"/>
      <c r="J294" s="384"/>
      <c r="K294" s="150"/>
      <c r="L294" s="150"/>
      <c r="M294" s="150"/>
      <c r="N294" s="150"/>
    </row>
    <row r="295" spans="1:15" ht="12" hidden="1" customHeight="1">
      <c r="B295" s="156"/>
      <c r="C295" s="156"/>
      <c r="D295" s="156"/>
      <c r="E295" s="156"/>
      <c r="F295" s="156"/>
      <c r="G295" s="156"/>
    </row>
    <row r="296" spans="1:15" ht="12" hidden="1" customHeight="1">
      <c r="B296" s="156"/>
      <c r="C296" s="156"/>
      <c r="D296" s="156"/>
      <c r="E296" s="156"/>
      <c r="F296" s="156"/>
      <c r="G296" s="156"/>
      <c r="H296" s="152"/>
    </row>
    <row r="297" spans="1:15" ht="12" hidden="1" customHeight="1">
      <c r="B297" s="923" t="s">
        <v>3938</v>
      </c>
      <c r="C297" s="924"/>
      <c r="D297" s="924"/>
      <c r="E297" s="924"/>
      <c r="F297" s="924"/>
      <c r="G297" s="925"/>
    </row>
    <row r="298" spans="1:15" ht="12" hidden="1" customHeight="1"/>
    <row r="299" spans="1:15" ht="12" hidden="1" customHeight="1"/>
    <row r="300" spans="1:15" ht="12" hidden="1" customHeight="1"/>
    <row r="301" spans="1:15" ht="12" hidden="1" customHeight="1">
      <c r="D301" s="145" t="s">
        <v>4413</v>
      </c>
      <c r="H301" s="152"/>
    </row>
    <row r="302" spans="1:15" ht="12" hidden="1" customHeight="1"/>
    <row r="303" spans="1:15" ht="12" hidden="1" customHeight="1">
      <c r="A303" s="153"/>
      <c r="B303" s="643" t="s">
        <v>3293</v>
      </c>
      <c r="C303" s="900" t="s">
        <v>3294</v>
      </c>
      <c r="D303" s="900"/>
      <c r="E303" s="644"/>
      <c r="F303" s="644"/>
      <c r="G303" s="645"/>
      <c r="H303" s="10"/>
    </row>
    <row r="304" spans="1:15" ht="12" hidden="1" customHeight="1">
      <c r="A304" s="153"/>
      <c r="B304" s="646" t="str">
        <f>'Lang Drops'!E1</f>
        <v>ULDB</v>
      </c>
      <c r="C304" s="647">
        <v>1</v>
      </c>
      <c r="D304" s="648" t="s">
        <v>3296</v>
      </c>
      <c r="E304" s="649">
        <v>1</v>
      </c>
      <c r="F304" s="644" t="s">
        <v>3286</v>
      </c>
      <c r="G304" s="645" t="s">
        <v>942</v>
      </c>
      <c r="H304" s="10"/>
    </row>
    <row r="305" spans="1:8" ht="12" hidden="1" customHeight="1">
      <c r="A305" s="153"/>
      <c r="B305" s="163" t="str">
        <f>'Lang Drops'!F1</f>
        <v>LDB</v>
      </c>
      <c r="C305" s="647">
        <v>1</v>
      </c>
      <c r="D305" s="648" t="s">
        <v>3298</v>
      </c>
      <c r="E305" s="650"/>
      <c r="F305" s="644"/>
      <c r="G305" s="645" t="s">
        <v>2317</v>
      </c>
      <c r="H305" s="10"/>
    </row>
    <row r="306" spans="1:8" ht="12" hidden="1" customHeight="1">
      <c r="A306" s="153"/>
      <c r="B306" s="163" t="str">
        <f>'Lang Drops'!G1</f>
        <v>racer/cruiser</v>
      </c>
      <c r="C306" s="647">
        <v>1</v>
      </c>
      <c r="D306" s="648" t="s">
        <v>3243</v>
      </c>
      <c r="E306" s="650"/>
      <c r="F306" s="644"/>
      <c r="G306" s="645" t="s">
        <v>2318</v>
      </c>
      <c r="H306" s="126"/>
    </row>
    <row r="307" spans="1:8" ht="12" hidden="1" customHeight="1">
      <c r="A307" s="153"/>
      <c r="B307" s="163" t="str">
        <f>'Lang Drops'!H1</f>
        <v>cruiser/racer</v>
      </c>
      <c r="C307" s="647">
        <v>1</v>
      </c>
      <c r="D307" s="648" t="s">
        <v>3245</v>
      </c>
      <c r="E307" s="650"/>
      <c r="F307" s="644"/>
      <c r="G307" s="645" t="s">
        <v>940</v>
      </c>
      <c r="H307" s="126"/>
    </row>
    <row r="308" spans="1:8" ht="12" hidden="1" customHeight="1">
      <c r="A308" s="153"/>
      <c r="B308" s="163" t="str">
        <f>'Lang Drops'!I1</f>
        <v>modern cruiser</v>
      </c>
      <c r="C308" s="647">
        <v>1</v>
      </c>
      <c r="D308" s="648" t="s">
        <v>3247</v>
      </c>
      <c r="E308" s="650"/>
      <c r="F308" s="644"/>
      <c r="G308" s="645" t="s">
        <v>941</v>
      </c>
      <c r="H308" s="126"/>
    </row>
    <row r="309" spans="1:8" ht="12" hidden="1" customHeight="1">
      <c r="A309" s="153"/>
      <c r="B309" s="163" t="str">
        <f>'Lang Drops'!J1</f>
        <v>traditional cruiser</v>
      </c>
      <c r="C309" s="647">
        <v>1</v>
      </c>
      <c r="D309" s="648" t="s">
        <v>3249</v>
      </c>
      <c r="E309" s="650"/>
      <c r="F309" s="644"/>
      <c r="G309" s="645" t="s">
        <v>3609</v>
      </c>
      <c r="H309" s="126"/>
    </row>
    <row r="310" spans="1:8" ht="12" hidden="1" customHeight="1">
      <c r="A310" s="153"/>
      <c r="B310" s="163" t="str">
        <f>'Lang Drops'!K1</f>
        <v>workboat</v>
      </c>
      <c r="C310" s="647">
        <v>1</v>
      </c>
      <c r="D310" s="648" t="s">
        <v>3251</v>
      </c>
      <c r="E310" s="650"/>
      <c r="F310" s="644"/>
      <c r="G310" s="645"/>
      <c r="H310" s="126"/>
    </row>
    <row r="311" spans="1:8" ht="12" hidden="1" customHeight="1">
      <c r="A311" s="153"/>
      <c r="B311" s="163" t="str">
        <f>'Lang Drops'!L1</f>
        <v>other (please specify)</v>
      </c>
      <c r="C311" s="647">
        <v>1</v>
      </c>
      <c r="D311" s="648" t="s">
        <v>3257</v>
      </c>
      <c r="E311" s="650"/>
      <c r="F311" s="644"/>
      <c r="G311" s="645"/>
      <c r="H311" s="126"/>
    </row>
    <row r="312" spans="1:8" ht="12" hidden="1" customHeight="1">
      <c r="A312" s="153"/>
      <c r="B312" s="163"/>
      <c r="C312" s="647">
        <v>1</v>
      </c>
      <c r="D312" s="648" t="s">
        <v>3259</v>
      </c>
      <c r="E312" s="650"/>
      <c r="F312" s="644"/>
      <c r="G312" s="645"/>
      <c r="H312" s="126"/>
    </row>
    <row r="313" spans="1:8" ht="12" hidden="1" customHeight="1">
      <c r="A313" s="153">
        <v>1</v>
      </c>
      <c r="B313" s="163" t="str">
        <f>'Lang Drops'!D1</f>
        <v>&lt;select from list&gt;</v>
      </c>
      <c r="C313" s="647">
        <v>1</v>
      </c>
      <c r="D313" s="648" t="s">
        <v>1566</v>
      </c>
      <c r="E313" s="650"/>
      <c r="F313" s="644"/>
      <c r="G313" s="645"/>
      <c r="H313" s="10"/>
    </row>
    <row r="314" spans="1:8" ht="12" hidden="1" customHeight="1">
      <c r="A314" s="153">
        <v>2</v>
      </c>
      <c r="B314" s="163" t="str">
        <f>'Lang Drops'!M1</f>
        <v>fair form</v>
      </c>
      <c r="C314" s="647">
        <v>1</v>
      </c>
      <c r="D314" s="648" t="s">
        <v>1569</v>
      </c>
      <c r="E314" s="650"/>
      <c r="F314" s="644"/>
      <c r="G314" s="645"/>
      <c r="H314" s="10"/>
    </row>
    <row r="315" spans="1:8" ht="12" hidden="1" customHeight="1">
      <c r="A315" s="153">
        <v>3</v>
      </c>
      <c r="B315" s="163" t="str">
        <f>'Lang Drops'!N1</f>
        <v>IOR (creased,bumps)</v>
      </c>
      <c r="C315" s="647">
        <v>1</v>
      </c>
      <c r="D315" s="648" t="s">
        <v>425</v>
      </c>
      <c r="E315" s="650"/>
      <c r="F315" s="644"/>
      <c r="G315" s="645"/>
      <c r="H315" s="10"/>
    </row>
    <row r="316" spans="1:8" ht="19.5" hidden="1" customHeight="1">
      <c r="A316" s="153">
        <v>4</v>
      </c>
      <c r="B316" s="163" t="str">
        <f>'Lang Drops'!O1</f>
        <v>full length hard chine on waterline</v>
      </c>
      <c r="C316" s="647">
        <v>1</v>
      </c>
      <c r="D316" s="648" t="s">
        <v>892</v>
      </c>
      <c r="E316" s="650" t="b">
        <f>IF(C316=2,1,IF(C316=3,1,IF(C316=4,2,IF(C316=5,3,IF(C316=6,4,IF(C316=7,5))))))</f>
        <v>0</v>
      </c>
      <c r="F316" s="644"/>
      <c r="G316" s="645"/>
      <c r="H316" s="10"/>
    </row>
    <row r="317" spans="1:8" ht="12" hidden="1" customHeight="1">
      <c r="A317" s="153">
        <v>5</v>
      </c>
      <c r="B317" s="163" t="str">
        <f>'Lang Drops'!P1</f>
        <v>multichined</v>
      </c>
      <c r="C317" s="647">
        <v>1</v>
      </c>
      <c r="D317" s="648" t="s">
        <v>902</v>
      </c>
      <c r="E317" s="650"/>
      <c r="F317" s="644"/>
      <c r="G317" s="645"/>
      <c r="H317" s="10"/>
    </row>
    <row r="318" spans="1:8" ht="12" hidden="1" customHeight="1">
      <c r="A318" s="153">
        <v>6</v>
      </c>
      <c r="B318" s="163" t="str">
        <f>'Lang Drops'!Q1</f>
        <v>clinker</v>
      </c>
      <c r="C318" s="647">
        <v>1</v>
      </c>
      <c r="D318" s="648" t="s">
        <v>904</v>
      </c>
      <c r="E318" s="650"/>
      <c r="F318" s="644"/>
      <c r="G318" s="645"/>
      <c r="H318" s="10"/>
    </row>
    <row r="319" spans="1:8" ht="12" hidden="1" customHeight="1">
      <c r="A319" s="153">
        <v>7</v>
      </c>
      <c r="B319" s="163" t="str">
        <f>'Lang Drops'!R1</f>
        <v>other (please specify)</v>
      </c>
      <c r="C319" s="647">
        <v>1</v>
      </c>
      <c r="D319" s="648" t="s">
        <v>905</v>
      </c>
      <c r="E319" s="650"/>
      <c r="F319" s="644"/>
      <c r="G319" s="645"/>
      <c r="H319" s="10"/>
    </row>
    <row r="320" spans="1:8" ht="12" hidden="1" customHeight="1">
      <c r="A320" s="153"/>
      <c r="B320" s="163" t="str">
        <f>'Lang Drops'!D1</f>
        <v>&lt;select from list&gt;</v>
      </c>
      <c r="C320" s="647">
        <v>1</v>
      </c>
      <c r="D320" s="648" t="s">
        <v>907</v>
      </c>
      <c r="E320" s="650"/>
      <c r="F320" s="644"/>
      <c r="G320" s="645"/>
      <c r="H320" s="10"/>
    </row>
    <row r="321" spans="1:8" ht="12" hidden="1" customHeight="1">
      <c r="A321" s="153"/>
      <c r="B321" s="163" t="str">
        <f>'Lang Drops'!D10</f>
        <v>fixed single fin</v>
      </c>
      <c r="C321" s="647">
        <v>1</v>
      </c>
      <c r="D321" s="651" t="s">
        <v>1574</v>
      </c>
      <c r="E321" s="650" t="s">
        <v>726</v>
      </c>
      <c r="F321" s="644" t="s">
        <v>726</v>
      </c>
      <c r="G321" s="645"/>
      <c r="H321" s="10"/>
    </row>
    <row r="322" spans="1:8" ht="12" hidden="1" customHeight="1">
      <c r="A322" s="153"/>
      <c r="B322" s="163" t="str">
        <f>'Lang Drops'!E10</f>
        <v>traditonal long keel</v>
      </c>
      <c r="C322" s="652" t="b">
        <v>1</v>
      </c>
      <c r="D322" s="653" t="s">
        <v>3557</v>
      </c>
      <c r="E322" s="650" t="s">
        <v>726</v>
      </c>
      <c r="F322" s="644" t="s">
        <v>726</v>
      </c>
      <c r="G322" s="645"/>
      <c r="H322" s="10"/>
    </row>
    <row r="323" spans="1:8" ht="12" hidden="1" customHeight="1">
      <c r="A323" s="153"/>
      <c r="B323" s="163" t="str">
        <f>'Lang Drops'!H10</f>
        <v>drop keel fixed down</v>
      </c>
      <c r="C323" s="654" t="b">
        <v>1</v>
      </c>
      <c r="D323" s="648" t="s">
        <v>3559</v>
      </c>
      <c r="E323" s="650" t="s">
        <v>1351</v>
      </c>
      <c r="F323" s="644"/>
      <c r="G323" s="645"/>
      <c r="H323" s="10"/>
    </row>
    <row r="324" spans="1:8" ht="12" hidden="1" customHeight="1">
      <c r="A324" s="153"/>
      <c r="B324" s="163" t="str">
        <f>'Lang Drops'!F10</f>
        <v>centreboard</v>
      </c>
      <c r="C324" s="654">
        <v>1</v>
      </c>
      <c r="D324" s="648" t="s">
        <v>2939</v>
      </c>
      <c r="E324" s="650"/>
      <c r="F324" s="644"/>
      <c r="G324" s="645"/>
      <c r="H324" s="10"/>
    </row>
    <row r="325" spans="1:8" ht="12" hidden="1" customHeight="1">
      <c r="A325" s="153"/>
      <c r="B325" s="163" t="str">
        <f>'Lang Drops'!G10</f>
        <v>drop keel</v>
      </c>
      <c r="C325" s="654">
        <v>3</v>
      </c>
      <c r="D325" s="648" t="s">
        <v>3736</v>
      </c>
      <c r="E325" s="650"/>
      <c r="F325" s="644"/>
      <c r="G325" s="645"/>
      <c r="H325" s="10"/>
    </row>
    <row r="326" spans="1:8" ht="12" hidden="1" customHeight="1">
      <c r="A326" s="153"/>
      <c r="B326" s="163" t="str">
        <f>'Lang Drops'!I10</f>
        <v>stub keel + c/board</v>
      </c>
      <c r="C326" s="654">
        <v>1</v>
      </c>
      <c r="D326" s="648" t="s">
        <v>3739</v>
      </c>
      <c r="E326" s="650"/>
      <c r="F326" s="644"/>
      <c r="G326" s="645"/>
      <c r="H326" s="10"/>
    </row>
    <row r="327" spans="1:8" ht="12" hidden="1" customHeight="1">
      <c r="A327" s="153"/>
      <c r="B327" s="163" t="str">
        <f>'Lang Drops'!J10</f>
        <v>twin bilge keels</v>
      </c>
      <c r="C327" s="654">
        <v>1</v>
      </c>
      <c r="D327" s="648" t="s">
        <v>3728</v>
      </c>
      <c r="E327" s="650"/>
      <c r="F327" s="644"/>
      <c r="G327" s="645"/>
      <c r="H327" s="10"/>
    </row>
    <row r="328" spans="1:8" ht="12" hidden="1" customHeight="1">
      <c r="A328" s="153"/>
      <c r="B328" s="163" t="str">
        <f>'Lang Drops'!K10</f>
        <v>triple keels</v>
      </c>
      <c r="C328" s="654">
        <v>1</v>
      </c>
      <c r="D328" s="648" t="s">
        <v>3742</v>
      </c>
      <c r="E328" s="650"/>
      <c r="F328" s="644"/>
      <c r="G328" s="645"/>
      <c r="H328" s="10"/>
    </row>
    <row r="329" spans="1:8" ht="19.5" hidden="1" customHeight="1">
      <c r="A329" s="153"/>
      <c r="B329" s="163" t="str">
        <f>'Lang Drops'!L10</f>
        <v>canting keel</v>
      </c>
      <c r="C329" s="654">
        <v>1</v>
      </c>
      <c r="D329" s="648" t="s">
        <v>3744</v>
      </c>
      <c r="E329" s="650"/>
      <c r="F329" s="644"/>
      <c r="G329" s="645"/>
      <c r="H329" s="10"/>
    </row>
    <row r="330" spans="1:8" ht="19.5" hidden="1" customHeight="1">
      <c r="A330" s="153"/>
      <c r="B330" s="163" t="str">
        <f>'Lang Drops'!M10</f>
        <v>other (please specify)</v>
      </c>
      <c r="C330" s="654">
        <v>1</v>
      </c>
      <c r="D330" s="648" t="s">
        <v>3746</v>
      </c>
      <c r="E330" s="650"/>
      <c r="F330" s="644"/>
      <c r="G330" s="645"/>
      <c r="H330" s="10"/>
    </row>
    <row r="331" spans="1:8" ht="19.5" hidden="1" customHeight="1">
      <c r="A331" s="153"/>
      <c r="B331" s="163" t="s">
        <v>4057</v>
      </c>
      <c r="C331" s="654">
        <v>1</v>
      </c>
      <c r="D331" s="648" t="s">
        <v>3729</v>
      </c>
      <c r="E331" s="650"/>
      <c r="F331" s="644"/>
      <c r="G331" s="645"/>
      <c r="H331" s="10"/>
    </row>
    <row r="332" spans="1:8" ht="19.5" hidden="1" customHeight="1">
      <c r="A332" s="153"/>
      <c r="B332" s="655" t="s">
        <v>3422</v>
      </c>
      <c r="C332" s="654" t="b">
        <v>0</v>
      </c>
      <c r="D332" s="648" t="s">
        <v>3752</v>
      </c>
      <c r="E332" s="650" t="s">
        <v>1351</v>
      </c>
      <c r="F332" s="644"/>
      <c r="G332" s="645"/>
      <c r="H332" s="10"/>
    </row>
    <row r="333" spans="1:8" ht="19.5" hidden="1" customHeight="1">
      <c r="A333" s="153"/>
      <c r="B333" s="655" t="s">
        <v>3421</v>
      </c>
      <c r="C333" s="654">
        <v>1</v>
      </c>
      <c r="D333" s="648" t="s">
        <v>3753</v>
      </c>
      <c r="E333" s="650"/>
      <c r="F333" s="644"/>
      <c r="G333" s="645"/>
      <c r="H333" s="10"/>
    </row>
    <row r="334" spans="1:8" ht="19.5" hidden="1" customHeight="1">
      <c r="A334" s="153"/>
      <c r="B334" s="655" t="s">
        <v>3741</v>
      </c>
      <c r="C334" s="654">
        <v>1</v>
      </c>
      <c r="D334" s="648" t="s">
        <v>3894</v>
      </c>
      <c r="E334" s="650"/>
      <c r="F334" s="644"/>
      <c r="G334" s="645"/>
      <c r="H334" s="10"/>
    </row>
    <row r="335" spans="1:8" ht="19.5" hidden="1" customHeight="1">
      <c r="A335" s="153"/>
      <c r="B335" s="655" t="s">
        <v>3743</v>
      </c>
      <c r="C335" s="654">
        <v>1</v>
      </c>
      <c r="D335" s="648" t="s">
        <v>3896</v>
      </c>
      <c r="E335" s="650"/>
      <c r="F335" s="644"/>
      <c r="G335" s="645"/>
      <c r="H335" s="10"/>
    </row>
    <row r="336" spans="1:8" ht="19.5" hidden="1" customHeight="1">
      <c r="A336" s="153"/>
      <c r="B336" s="655" t="s">
        <v>3745</v>
      </c>
      <c r="C336" s="654">
        <v>2</v>
      </c>
      <c r="D336" s="648" t="s">
        <v>4070</v>
      </c>
      <c r="E336" s="650"/>
      <c r="F336" s="644"/>
      <c r="G336" s="645"/>
      <c r="H336" s="150"/>
    </row>
    <row r="337" spans="1:8" ht="19.5" hidden="1" customHeight="1">
      <c r="A337" s="153"/>
      <c r="B337" s="163" t="str">
        <f>'Lang Drops'!D1</f>
        <v>&lt;select from list&gt;</v>
      </c>
      <c r="C337" s="654">
        <v>2</v>
      </c>
      <c r="D337" s="648" t="s">
        <v>3899</v>
      </c>
      <c r="E337" s="650"/>
      <c r="F337" s="644"/>
      <c r="G337" s="645"/>
      <c r="H337" s="10"/>
    </row>
    <row r="338" spans="1:8" ht="19.5" hidden="1" customHeight="1">
      <c r="A338" s="153"/>
      <c r="B338" s="163" t="str">
        <f>'Lang Drops'!N10</f>
        <v>spade</v>
      </c>
      <c r="C338" s="654">
        <v>2</v>
      </c>
      <c r="D338" s="648" t="s">
        <v>4074</v>
      </c>
      <c r="E338" s="650"/>
      <c r="F338" s="644"/>
      <c r="G338" s="645"/>
      <c r="H338" s="10"/>
    </row>
    <row r="339" spans="1:8" ht="19.5" hidden="1" customHeight="1">
      <c r="A339" s="153"/>
      <c r="B339" s="163" t="str">
        <f>'Lang Drops'!O10</f>
        <v>small IOR skeg</v>
      </c>
      <c r="C339" s="652" t="b">
        <v>1</v>
      </c>
      <c r="D339" s="653" t="s">
        <v>3898</v>
      </c>
      <c r="E339" s="650"/>
      <c r="F339" s="644"/>
      <c r="G339" s="645"/>
      <c r="H339" s="10"/>
    </row>
    <row r="340" spans="1:8" ht="19.5" hidden="1" customHeight="1">
      <c r="A340" s="153"/>
      <c r="B340" s="163" t="str">
        <f>'Lang Drops'!P10</f>
        <v>modern transom hung</v>
      </c>
      <c r="C340" s="654">
        <v>3</v>
      </c>
      <c r="D340" s="648" t="s">
        <v>181</v>
      </c>
      <c r="E340" s="650"/>
      <c r="F340" s="644"/>
      <c r="G340" s="645"/>
      <c r="H340" s="10"/>
    </row>
    <row r="341" spans="1:8" ht="19.5" hidden="1" customHeight="1">
      <c r="A341" s="153"/>
      <c r="B341" s="163" t="str">
        <f>'Lang Drops'!Q10</f>
        <v>half depth skeg</v>
      </c>
      <c r="C341" s="654">
        <v>2</v>
      </c>
      <c r="D341" s="648" t="s">
        <v>2862</v>
      </c>
      <c r="E341" s="650"/>
      <c r="F341" s="644"/>
      <c r="G341" s="645"/>
      <c r="H341" s="10"/>
    </row>
    <row r="342" spans="1:8" ht="19.5" hidden="1" customHeight="1">
      <c r="A342" s="153"/>
      <c r="B342" s="163" t="str">
        <f>'Lang Drops'!R10</f>
        <v>twin spade</v>
      </c>
      <c r="C342" s="654"/>
      <c r="D342" s="648"/>
      <c r="E342" s="656"/>
      <c r="F342" s="644"/>
      <c r="G342" s="645"/>
      <c r="H342" s="10"/>
    </row>
    <row r="343" spans="1:8" ht="19.5" hidden="1" customHeight="1">
      <c r="A343" s="153"/>
      <c r="B343" s="163" t="str">
        <f>'Lang Drops'!S10</f>
        <v>twin transom hung</v>
      </c>
      <c r="C343" s="654" t="b">
        <v>1</v>
      </c>
      <c r="D343" s="648" t="s">
        <v>3905</v>
      </c>
      <c r="E343" s="650" t="s">
        <v>1351</v>
      </c>
      <c r="F343" s="644"/>
      <c r="G343" s="645"/>
      <c r="H343" s="10"/>
    </row>
    <row r="344" spans="1:8" ht="19.5" hidden="1" customHeight="1">
      <c r="A344" s="153"/>
      <c r="B344" s="163" t="str">
        <f>'Lang Drops'!T10</f>
        <v>full depth skeg</v>
      </c>
      <c r="C344" s="654">
        <v>1</v>
      </c>
      <c r="D344" s="648" t="s">
        <v>4205</v>
      </c>
      <c r="E344" s="650"/>
      <c r="F344" s="644"/>
      <c r="G344" s="645"/>
      <c r="H344" s="10"/>
    </row>
    <row r="345" spans="1:8" ht="19.5" hidden="1" customHeight="1">
      <c r="A345" s="153"/>
      <c r="B345" s="163" t="str">
        <f>'Lang Drops'!U10</f>
        <v>traditonal hung on keel</v>
      </c>
      <c r="C345" s="654">
        <v>3</v>
      </c>
      <c r="D345" s="648" t="s">
        <v>3423</v>
      </c>
      <c r="E345" s="650"/>
      <c r="F345" s="644"/>
      <c r="G345" s="645"/>
      <c r="H345" s="10"/>
    </row>
    <row r="346" spans="1:8" ht="19.5" hidden="1" customHeight="1">
      <c r="A346" s="153"/>
      <c r="B346" s="163" t="str">
        <f>'Lang Drops'!V10</f>
        <v>other (please specify)</v>
      </c>
      <c r="C346" s="654">
        <v>3</v>
      </c>
      <c r="D346" s="648" t="s">
        <v>866</v>
      </c>
      <c r="E346" s="650"/>
      <c r="F346" s="644"/>
      <c r="G346" s="645"/>
      <c r="H346" s="10"/>
    </row>
    <row r="347" spans="1:8" ht="19.5" hidden="1" customHeight="1">
      <c r="A347" s="153"/>
      <c r="B347" s="163" t="str">
        <f>'Lang Drops'!D1</f>
        <v>&lt;select from list&gt;</v>
      </c>
      <c r="C347" s="654">
        <v>2</v>
      </c>
      <c r="D347" s="648" t="s">
        <v>4193</v>
      </c>
      <c r="E347" s="650"/>
      <c r="F347" s="644"/>
      <c r="G347" s="645"/>
      <c r="H347" s="10"/>
    </row>
    <row r="348" spans="1:8" ht="19.5" hidden="1" customHeight="1">
      <c r="A348" s="153"/>
      <c r="B348" s="163" t="str">
        <f>'Lang Drops'!D20</f>
        <v>very exotic (eg Nomex)</v>
      </c>
      <c r="C348" s="654">
        <v>1</v>
      </c>
      <c r="D348" s="648" t="s">
        <v>3418</v>
      </c>
      <c r="E348" s="650"/>
      <c r="F348" s="644"/>
      <c r="G348" s="645"/>
      <c r="H348" s="10"/>
    </row>
    <row r="349" spans="1:8" ht="19.5" hidden="1" customHeight="1">
      <c r="A349" s="153"/>
      <c r="B349" s="163" t="str">
        <f>'Lang Drops'!E20</f>
        <v>carbon sandwich</v>
      </c>
      <c r="C349" s="654">
        <v>3</v>
      </c>
      <c r="D349" s="648" t="s">
        <v>224</v>
      </c>
      <c r="E349" s="650"/>
      <c r="F349" s="644"/>
      <c r="G349" s="645"/>
      <c r="H349" s="10"/>
    </row>
    <row r="350" spans="1:8" ht="19.5" hidden="1" customHeight="1">
      <c r="A350" s="153"/>
      <c r="B350" s="163" t="str">
        <f>'Lang Drops'!F20</f>
        <v>kevlar sandwich</v>
      </c>
      <c r="C350" s="654">
        <v>2</v>
      </c>
      <c r="D350" s="648" t="s">
        <v>1746</v>
      </c>
      <c r="E350" s="650"/>
      <c r="F350" s="644"/>
      <c r="G350" s="645"/>
      <c r="H350" s="10"/>
    </row>
    <row r="351" spans="1:8" ht="19.5" hidden="1" customHeight="1">
      <c r="A351" s="153"/>
      <c r="B351" s="163" t="str">
        <f>'Lang Drops'!G20</f>
        <v>glass sandwich</v>
      </c>
      <c r="C351" s="654">
        <v>2</v>
      </c>
      <c r="D351" s="648" t="s">
        <v>1747</v>
      </c>
      <c r="E351" s="650"/>
      <c r="F351" s="644"/>
      <c r="G351" s="645"/>
      <c r="H351" s="10"/>
    </row>
    <row r="352" spans="1:8" ht="19.5" hidden="1" customHeight="1">
      <c r="A352" s="153"/>
      <c r="B352" s="163" t="str">
        <f>'Lang Drops'!H20</f>
        <v>solid glass</v>
      </c>
      <c r="C352" s="654"/>
      <c r="D352" s="648"/>
      <c r="E352" s="650"/>
      <c r="F352" s="644"/>
      <c r="G352" s="645"/>
      <c r="H352" s="10"/>
    </row>
    <row r="353" spans="1:8" ht="19.5" hidden="1" customHeight="1">
      <c r="A353" s="153"/>
      <c r="B353" s="163" t="str">
        <f>'Lang Drops'!I20</f>
        <v>aluminium</v>
      </c>
      <c r="C353" s="654">
        <v>1</v>
      </c>
      <c r="D353" s="648" t="s">
        <v>3603</v>
      </c>
      <c r="E353" s="650"/>
      <c r="F353" s="644"/>
      <c r="G353" s="645"/>
      <c r="H353" s="10"/>
    </row>
    <row r="354" spans="1:8" ht="19.5" hidden="1" customHeight="1">
      <c r="A354" s="153"/>
      <c r="B354" s="163" t="str">
        <f>'Lang Drops'!J20</f>
        <v>moulded wood</v>
      </c>
      <c r="C354" s="654"/>
      <c r="D354" s="163" t="s">
        <v>4061</v>
      </c>
      <c r="E354" s="650"/>
      <c r="F354" s="644"/>
      <c r="G354" s="645"/>
      <c r="H354" s="10"/>
    </row>
    <row r="355" spans="1:8" ht="19.5" hidden="1" customHeight="1">
      <c r="A355" s="153"/>
      <c r="B355" s="163" t="str">
        <f>'Lang Drops'!K20</f>
        <v>ply</v>
      </c>
      <c r="C355" s="654">
        <v>3</v>
      </c>
      <c r="D355" s="163" t="s">
        <v>1791</v>
      </c>
      <c r="E355" s="650"/>
      <c r="F355" s="644"/>
      <c r="G355" s="645"/>
      <c r="H355" s="10"/>
    </row>
    <row r="356" spans="1:8" ht="19.5" hidden="1" customHeight="1">
      <c r="A356" s="153"/>
      <c r="B356" s="163" t="str">
        <f>'Lang Drops'!L20</f>
        <v>heavy classic timber</v>
      </c>
      <c r="C356" s="654">
        <v>1</v>
      </c>
      <c r="D356" s="163" t="s">
        <v>1792</v>
      </c>
      <c r="E356" s="650"/>
      <c r="F356" s="644"/>
      <c r="G356" s="645"/>
      <c r="H356" s="10"/>
    </row>
    <row r="357" spans="1:8" ht="19.5" hidden="1" customHeight="1">
      <c r="A357" s="153"/>
      <c r="B357" s="163" t="str">
        <f>'Lang Drops'!M20</f>
        <v>steel</v>
      </c>
      <c r="C357" s="654">
        <v>1</v>
      </c>
      <c r="D357" s="163" t="s">
        <v>1404</v>
      </c>
      <c r="E357" s="650"/>
      <c r="F357" s="644"/>
      <c r="G357" s="645"/>
      <c r="H357" s="10"/>
    </row>
    <row r="358" spans="1:8" ht="19.5" hidden="1" customHeight="1">
      <c r="A358" s="153"/>
      <c r="B358" s="163" t="str">
        <f>'Lang Drops'!N20</f>
        <v>concrete</v>
      </c>
      <c r="C358" s="654" t="b">
        <v>0</v>
      </c>
      <c r="D358" s="163" t="s">
        <v>4007</v>
      </c>
      <c r="E358" s="650"/>
      <c r="F358" s="644"/>
      <c r="G358" s="645"/>
      <c r="H358" s="10"/>
    </row>
    <row r="359" spans="1:8" ht="19.5" hidden="1" customHeight="1">
      <c r="A359" s="153"/>
      <c r="B359" s="163" t="str">
        <f>'Lang Drops'!O20</f>
        <v>other (please specify)</v>
      </c>
      <c r="C359" s="654">
        <v>2</v>
      </c>
      <c r="D359" s="163" t="s">
        <v>3344</v>
      </c>
      <c r="E359" s="650"/>
      <c r="F359" s="644"/>
      <c r="G359" s="645"/>
      <c r="H359" s="10"/>
    </row>
    <row r="360" spans="1:8" ht="19.5" hidden="1" customHeight="1">
      <c r="A360" s="153"/>
      <c r="B360" s="163"/>
      <c r="C360" s="654">
        <v>2</v>
      </c>
      <c r="D360" s="163" t="s">
        <v>2503</v>
      </c>
      <c r="E360" s="650"/>
      <c r="F360" s="644"/>
      <c r="G360" s="645"/>
      <c r="H360" s="10"/>
    </row>
    <row r="361" spans="1:8" ht="19.5" hidden="1" customHeight="1">
      <c r="A361" s="153"/>
      <c r="B361" s="163" t="str">
        <f>'Lang Drops'!D1</f>
        <v>&lt;select from list&gt;</v>
      </c>
      <c r="C361" s="654"/>
      <c r="D361" s="163"/>
      <c r="E361" s="650"/>
      <c r="F361" s="644"/>
      <c r="G361" s="645"/>
      <c r="H361" s="10"/>
    </row>
    <row r="362" spans="1:8" ht="19.5" hidden="1" customHeight="1">
      <c r="A362" s="153"/>
      <c r="B362" s="163" t="str">
        <f>'Lang Drops'!D30</f>
        <v>empty interior</v>
      </c>
      <c r="C362" s="654">
        <v>22</v>
      </c>
      <c r="D362" s="163" t="s">
        <v>2504</v>
      </c>
      <c r="E362" s="644"/>
      <c r="F362" s="644"/>
      <c r="G362" s="645"/>
      <c r="H362" s="10"/>
    </row>
    <row r="363" spans="1:8" ht="19.5" hidden="1" customHeight="1">
      <c r="A363" s="153"/>
      <c r="B363" s="163" t="str">
        <f ca="1">'Lang Drops'!E30</f>
        <v>spartan interior, minimal equipment</v>
      </c>
      <c r="C363" s="654">
        <f>D98*0.02</f>
        <v>0</v>
      </c>
      <c r="D363" s="163" t="s">
        <v>3730</v>
      </c>
      <c r="E363" s="644"/>
      <c r="F363" s="644"/>
      <c r="G363" s="645"/>
      <c r="H363" s="10"/>
    </row>
    <row r="364" spans="1:8" ht="19.5" hidden="1" customHeight="1">
      <c r="A364" s="153"/>
      <c r="B364" s="163" t="str">
        <f ca="1">'Lang Drops'!F30</f>
        <v>central fitout but empty fore/aft</v>
      </c>
      <c r="C364" s="654">
        <v>1</v>
      </c>
      <c r="D364" s="163" t="s">
        <v>3279</v>
      </c>
      <c r="E364" s="644"/>
      <c r="F364" s="644"/>
      <c r="G364" s="645"/>
      <c r="H364" s="10"/>
    </row>
    <row r="365" spans="1:8" ht="19.5" hidden="1" customHeight="1">
      <c r="A365" s="153"/>
      <c r="B365" s="163" t="str">
        <f ca="1">'Lang Drops'!G30</f>
        <v>full fitout including fore/aft berths</v>
      </c>
      <c r="C365" s="654" t="b">
        <f>AND(D98&gt;0,D99&gt;0,D100&gt;0,D101&gt;0,D102&gt;0)</f>
        <v>0</v>
      </c>
      <c r="D365" s="163" t="s">
        <v>2257</v>
      </c>
      <c r="E365" s="644"/>
      <c r="F365" s="644"/>
      <c r="G365" s="645"/>
      <c r="H365" s="10"/>
    </row>
    <row r="366" spans="1:8" ht="19.5" hidden="1" customHeight="1">
      <c r="A366" s="153"/>
      <c r="B366" s="163" t="str">
        <f ca="1">'Lang Drops'!H30</f>
        <v>heavy cruising fitout with many extras</v>
      </c>
      <c r="C366" s="654"/>
      <c r="D366" s="163"/>
      <c r="E366" s="644"/>
      <c r="F366" s="644"/>
      <c r="G366" s="645"/>
      <c r="H366" s="10"/>
    </row>
    <row r="367" spans="1:8" ht="19.5" hidden="1" customHeight="1">
      <c r="A367" s="153"/>
      <c r="B367" s="163" t="str">
        <f ca="1">'Lang Drops'!I30</f>
        <v>other (please specify)</v>
      </c>
      <c r="C367" s="654"/>
      <c r="D367" s="163"/>
      <c r="E367" s="644"/>
      <c r="F367" s="644"/>
      <c r="G367" s="645"/>
      <c r="H367" s="10"/>
    </row>
    <row r="368" spans="1:8" ht="19.5" hidden="1" customHeight="1">
      <c r="A368" s="153"/>
      <c r="B368" s="163">
        <f ca="1">'Lang Drops'!J30</f>
        <v>0</v>
      </c>
      <c r="C368" s="654">
        <v>1</v>
      </c>
      <c r="D368" s="163" t="s">
        <v>4299</v>
      </c>
      <c r="E368" s="644"/>
      <c r="F368" s="644"/>
      <c r="G368" s="645"/>
      <c r="H368" s="10"/>
    </row>
    <row r="369" spans="1:8" ht="19.5" hidden="1" customHeight="1">
      <c r="A369" s="153"/>
      <c r="B369" s="163">
        <f ca="1">'Lang Drops'!K30</f>
        <v>0</v>
      </c>
      <c r="C369" s="654">
        <v>3</v>
      </c>
      <c r="D369" s="163" t="s">
        <v>871</v>
      </c>
      <c r="E369" s="644"/>
      <c r="F369" s="644"/>
      <c r="G369" s="645"/>
      <c r="H369" s="10"/>
    </row>
    <row r="370" spans="1:8" ht="19.5" hidden="1" customHeight="1">
      <c r="A370" s="153"/>
      <c r="B370" s="163" t="str">
        <f>'Lang Drops'!D1</f>
        <v>&lt;select from list&gt;</v>
      </c>
      <c r="C370" s="654">
        <v>3</v>
      </c>
      <c r="D370" s="163" t="s">
        <v>867</v>
      </c>
      <c r="E370" s="644"/>
      <c r="F370" s="644"/>
      <c r="G370" s="645"/>
      <c r="H370" s="10"/>
    </row>
    <row r="371" spans="1:8" ht="19.5" hidden="1" customHeight="1">
      <c r="A371" s="153"/>
      <c r="B371" s="163" t="str">
        <f ca="1">'Lang Drops'!L30</f>
        <v>none</v>
      </c>
      <c r="C371" s="657">
        <v>3</v>
      </c>
      <c r="D371" s="163" t="s">
        <v>872</v>
      </c>
      <c r="E371" s="644"/>
      <c r="F371" s="644"/>
      <c r="G371" s="645"/>
      <c r="H371" s="10"/>
    </row>
    <row r="372" spans="1:8" ht="19.5" hidden="1" customHeight="1">
      <c r="A372" s="153"/>
      <c r="B372" s="163" t="str">
        <f ca="1">'Lang Drops'!M30</f>
        <v>Twin lateral retractable</v>
      </c>
      <c r="C372" s="657">
        <v>3</v>
      </c>
      <c r="D372" s="645" t="s">
        <v>679</v>
      </c>
      <c r="E372" s="644"/>
      <c r="F372" s="644"/>
      <c r="G372" s="645"/>
      <c r="H372" s="10"/>
    </row>
    <row r="373" spans="1:8" ht="19.5" hidden="1" customHeight="1">
      <c r="A373" s="153"/>
      <c r="B373" s="163" t="str">
        <f ca="1">'Lang Drops'!N30</f>
        <v>Forward, gybing (non-controllable)</v>
      </c>
      <c r="C373" s="654">
        <v>1</v>
      </c>
      <c r="D373" s="163" t="s">
        <v>1131</v>
      </c>
      <c r="E373" s="644"/>
      <c r="F373" s="644"/>
      <c r="G373" s="645"/>
      <c r="H373" s="64"/>
    </row>
    <row r="374" spans="1:8" ht="19.5" hidden="1" customHeight="1">
      <c r="A374" s="153"/>
      <c r="B374" s="163" t="str">
        <f>'Lang Drops'!D1</f>
        <v>&lt;select from list&gt;</v>
      </c>
      <c r="C374" s="654" t="b">
        <v>0</v>
      </c>
      <c r="D374" s="163" t="s">
        <v>582</v>
      </c>
      <c r="E374" s="644"/>
      <c r="F374" s="644"/>
      <c r="G374" s="645"/>
      <c r="H374" s="658"/>
    </row>
    <row r="375" spans="1:8" ht="19.5" hidden="1" customHeight="1">
      <c r="A375" s="153"/>
      <c r="B375" s="163" t="str">
        <f ca="1">'Lang Drops'!L30</f>
        <v>none</v>
      </c>
      <c r="C375" s="654">
        <v>3</v>
      </c>
      <c r="D375" s="163" t="s">
        <v>4524</v>
      </c>
      <c r="E375" s="644"/>
      <c r="F375" s="644"/>
      <c r="G375" s="645"/>
      <c r="H375" s="658"/>
    </row>
    <row r="376" spans="1:8" ht="19.5" hidden="1" customHeight="1">
      <c r="A376" s="153"/>
      <c r="B376" s="163" t="str">
        <f ca="1">'Lang Drops'!O30</f>
        <v>on keel</v>
      </c>
      <c r="C376" s="657">
        <v>3</v>
      </c>
      <c r="D376" s="163" t="s">
        <v>4691</v>
      </c>
      <c r="E376" s="644"/>
      <c r="F376" s="644"/>
      <c r="G376" s="645"/>
      <c r="H376" s="64"/>
    </row>
    <row r="377" spans="1:8" ht="19.5" hidden="1" customHeight="1">
      <c r="A377" s="153"/>
      <c r="B377" s="163" t="str">
        <f ca="1">'Lang Drops'!P30</f>
        <v>on canard</v>
      </c>
      <c r="C377" s="654"/>
      <c r="D377" s="163"/>
      <c r="E377" s="644"/>
      <c r="F377" s="644"/>
      <c r="G377" s="645"/>
      <c r="H377" s="64"/>
    </row>
    <row r="378" spans="1:8" ht="19.5" hidden="1" customHeight="1">
      <c r="A378" s="153"/>
      <c r="B378" s="163" t="str">
        <f>'Lang Drops'!D1</f>
        <v>&lt;select from list&gt;</v>
      </c>
      <c r="C378" s="654"/>
      <c r="D378" s="163"/>
      <c r="E378" s="644"/>
      <c r="F378" s="644"/>
      <c r="G378" s="645"/>
      <c r="H378" s="65"/>
    </row>
    <row r="379" spans="1:8" ht="19.5" hidden="1" customHeight="1">
      <c r="A379" s="153"/>
      <c r="B379" s="163" t="str">
        <f ca="1">'Lang Drops'!L30</f>
        <v>none</v>
      </c>
      <c r="C379" s="654"/>
      <c r="D379" s="163" t="b">
        <f>AND(D109&gt;0,D110&gt;0,D111&gt;0,D112&gt;0)</f>
        <v>0</v>
      </c>
      <c r="E379" s="644"/>
      <c r="F379" s="644"/>
      <c r="G379" s="645"/>
      <c r="H379" s="65"/>
    </row>
    <row r="380" spans="1:8" ht="19.5" hidden="1" customHeight="1">
      <c r="A380" s="153"/>
      <c r="B380" s="163" t="str">
        <f ca="1">'Lang Drops'!Q30</f>
        <v>forward rudder (controllable)</v>
      </c>
      <c r="C380" s="654"/>
      <c r="D380" s="163"/>
      <c r="E380" s="644"/>
      <c r="F380" s="644"/>
      <c r="G380" s="645"/>
      <c r="H380" s="65"/>
    </row>
    <row r="381" spans="1:8" ht="19.5" hidden="1" customHeight="1">
      <c r="A381" s="153"/>
      <c r="B381" s="163" t="str">
        <f ca="1">'Lang Drops'!R30</f>
        <v>canard</v>
      </c>
      <c r="C381" s="654"/>
      <c r="D381" s="163"/>
      <c r="E381" s="644"/>
      <c r="F381" s="644"/>
      <c r="G381" s="645"/>
      <c r="H381" s="65"/>
    </row>
    <row r="382" spans="1:8" ht="19.5" hidden="1" customHeight="1">
      <c r="A382" s="153"/>
      <c r="B382" s="163" t="str">
        <f ca="1">'Lang Drops'!S30</f>
        <v>canard with trim tab</v>
      </c>
      <c r="C382" s="657"/>
      <c r="D382" s="163"/>
      <c r="E382" s="644"/>
      <c r="F382" s="644"/>
      <c r="G382" s="645"/>
      <c r="H382" s="64"/>
    </row>
    <row r="383" spans="1:8" ht="19.5" hidden="1" customHeight="1">
      <c r="A383" s="153"/>
      <c r="B383" s="163" t="str">
        <f>'Lang Drops'!D1</f>
        <v>&lt;select from list&gt;</v>
      </c>
      <c r="C383" s="654" t="s">
        <v>726</v>
      </c>
      <c r="D383" s="163" t="b">
        <f>AND(D113&gt;0,D114&gt;0,D115&gt;0,D116&gt;0)</f>
        <v>0</v>
      </c>
      <c r="E383" s="644"/>
      <c r="F383" s="644"/>
      <c r="G383" s="645"/>
      <c r="H383" s="64"/>
    </row>
    <row r="384" spans="1:8" ht="19.5" hidden="1" customHeight="1">
      <c r="A384" s="153"/>
      <c r="B384" s="163" t="str">
        <f>'Lang Drops'!D40</f>
        <v>masthead</v>
      </c>
      <c r="C384" s="654"/>
      <c r="D384" s="163"/>
      <c r="E384" s="644"/>
      <c r="F384" s="644"/>
      <c r="G384" s="645"/>
      <c r="H384" s="10"/>
    </row>
    <row r="385" spans="1:8" ht="19.5" hidden="1" customHeight="1">
      <c r="A385" s="153"/>
      <c r="B385" s="163" t="str">
        <f>'Lang Drops'!E40</f>
        <v>fractional</v>
      </c>
      <c r="C385" s="654"/>
      <c r="D385" s="163"/>
      <c r="E385" s="644"/>
      <c r="F385" s="644"/>
      <c r="G385" s="645"/>
      <c r="H385" s="10"/>
    </row>
    <row r="386" spans="1:8" ht="19.5" hidden="1" customHeight="1">
      <c r="A386" s="153"/>
      <c r="B386" s="163"/>
      <c r="C386" s="654"/>
      <c r="D386" s="163"/>
      <c r="E386" s="644"/>
      <c r="F386" s="644"/>
      <c r="G386" s="645"/>
      <c r="H386" s="10"/>
    </row>
    <row r="387" spans="1:8" ht="19.5" hidden="1" customHeight="1">
      <c r="A387" s="153"/>
      <c r="B387" s="163"/>
      <c r="C387" s="654" t="s">
        <v>726</v>
      </c>
      <c r="D387" s="163"/>
      <c r="E387" s="644"/>
      <c r="F387" s="644"/>
      <c r="G387" s="645"/>
      <c r="H387" s="10"/>
    </row>
    <row r="388" spans="1:8" ht="19.5" hidden="1" customHeight="1">
      <c r="A388" s="153"/>
      <c r="B388" s="163" t="str">
        <f>'Lang Drops'!D1</f>
        <v>&lt;select from list&gt;</v>
      </c>
      <c r="C388" s="657"/>
      <c r="D388" s="163"/>
      <c r="E388" s="644"/>
      <c r="F388" s="644"/>
      <c r="G388" s="645"/>
      <c r="H388" s="10"/>
    </row>
    <row r="389" spans="1:8" ht="19.5" hidden="1" customHeight="1">
      <c r="A389" s="153"/>
      <c r="B389" s="163" t="str">
        <f>'Lang Drops'!F40</f>
        <v>no pole or bowsprit</v>
      </c>
      <c r="C389" s="654" t="s">
        <v>726</v>
      </c>
      <c r="D389" s="163"/>
      <c r="E389" s="644" t="s">
        <v>2937</v>
      </c>
      <c r="F389" s="644"/>
      <c r="G389" s="645"/>
      <c r="H389" s="10"/>
    </row>
    <row r="390" spans="1:8" ht="19.5" hidden="1" customHeight="1">
      <c r="A390" s="153"/>
      <c r="B390" s="163" t="str">
        <f>'Lang Drops'!G40</f>
        <v>centreline bowsprit only</v>
      </c>
      <c r="C390" s="654"/>
      <c r="D390" s="163"/>
      <c r="E390" s="644"/>
      <c r="F390" s="644"/>
      <c r="G390" s="645"/>
      <c r="H390" s="10"/>
    </row>
    <row r="391" spans="1:8" ht="19.5" hidden="1" customHeight="1">
      <c r="A391" s="153"/>
      <c r="B391" s="163" t="str">
        <f>'Lang Drops'!H40</f>
        <v>spinnaker pole(s)</v>
      </c>
      <c r="C391" s="654"/>
      <c r="D391" s="163"/>
      <c r="E391" s="644"/>
      <c r="F391" s="644"/>
      <c r="G391" s="645"/>
      <c r="H391" s="10"/>
    </row>
    <row r="392" spans="1:8" ht="19.5" hidden="1" customHeight="1">
      <c r="A392" s="153"/>
      <c r="B392" s="163" t="str">
        <f>'Lang Drops'!I40</f>
        <v>spinnaker pole(s) and bowsprit</v>
      </c>
      <c r="C392" s="654"/>
      <c r="D392" s="163"/>
      <c r="E392" s="644"/>
      <c r="F392" s="644"/>
      <c r="G392" s="645"/>
      <c r="H392" s="10"/>
    </row>
    <row r="393" spans="1:8" ht="19.5" hidden="1" customHeight="1">
      <c r="A393" s="153"/>
      <c r="B393" s="163" t="str">
        <f>'Lang Drops'!K40</f>
        <v>articulating bowsprit</v>
      </c>
      <c r="C393" s="657"/>
      <c r="D393" s="163"/>
      <c r="E393" s="644" t="s">
        <v>2938</v>
      </c>
      <c r="F393" s="644"/>
      <c r="G393" s="645"/>
      <c r="H393" s="10"/>
    </row>
    <row r="394" spans="1:8" ht="19.5" hidden="1" customHeight="1">
      <c r="A394" s="153"/>
      <c r="B394" s="163" t="str">
        <f>'Lang Drops'!J40</f>
        <v>whisker pole for headsail only (no spi)</v>
      </c>
      <c r="C394" s="654"/>
      <c r="D394" s="163"/>
      <c r="E394" s="644"/>
      <c r="F394" s="644"/>
      <c r="G394" s="645"/>
      <c r="H394" s="10"/>
    </row>
    <row r="395" spans="1:8" ht="19.5" hidden="1" customHeight="1">
      <c r="A395" s="153"/>
      <c r="B395" s="163" t="str">
        <f>'Lang Drops'!D1</f>
        <v>&lt;select from list&gt;</v>
      </c>
      <c r="C395" s="654"/>
      <c r="D395" s="163"/>
      <c r="E395" s="644" t="s">
        <v>4465</v>
      </c>
      <c r="F395" s="644"/>
      <c r="G395" s="645"/>
      <c r="H395" s="10"/>
    </row>
    <row r="396" spans="1:8" ht="19.5" hidden="1" customHeight="1">
      <c r="A396" s="153"/>
      <c r="B396" s="163" t="str">
        <f>'Lang Drops'!L40</f>
        <v>aluminium/alloy</v>
      </c>
      <c r="C396" s="654"/>
      <c r="D396" s="654">
        <v>1</v>
      </c>
      <c r="E396" s="649" t="s">
        <v>4057</v>
      </c>
      <c r="F396" s="649"/>
      <c r="G396" s="645"/>
      <c r="H396" s="10"/>
    </row>
    <row r="397" spans="1:8" ht="19.5" hidden="1" customHeight="1">
      <c r="A397" s="153"/>
      <c r="B397" s="163" t="str">
        <f>'Lang Drops'!M40</f>
        <v>carbon</v>
      </c>
      <c r="C397" s="654" t="s">
        <v>726</v>
      </c>
      <c r="D397" s="654"/>
      <c r="E397" s="649" t="s">
        <v>4461</v>
      </c>
      <c r="F397" s="649"/>
      <c r="G397" s="645"/>
      <c r="H397" s="10"/>
    </row>
    <row r="398" spans="1:8" ht="19.5" hidden="1" customHeight="1">
      <c r="A398" s="153"/>
      <c r="B398" s="163" t="str">
        <f>'Lang Drops'!N40</f>
        <v>wood</v>
      </c>
      <c r="C398" s="657"/>
      <c r="D398" s="654"/>
      <c r="E398" s="649" t="s">
        <v>4462</v>
      </c>
      <c r="F398" s="649"/>
      <c r="G398" s="645"/>
      <c r="H398" s="10"/>
    </row>
    <row r="399" spans="1:8" ht="19.5" hidden="1" customHeight="1">
      <c r="A399" s="153"/>
      <c r="B399" s="163" t="str">
        <f>'Lang Drops'!O40</f>
        <v>other (please specify)</v>
      </c>
      <c r="C399" s="654"/>
      <c r="D399" s="654"/>
      <c r="E399" s="649" t="s">
        <v>4463</v>
      </c>
      <c r="F399" s="649"/>
      <c r="G399" s="645"/>
      <c r="H399" s="10"/>
    </row>
    <row r="400" spans="1:8" ht="19.5" hidden="1" customHeight="1">
      <c r="A400" s="153"/>
      <c r="B400" s="163"/>
      <c r="C400" s="654"/>
      <c r="D400" s="654"/>
      <c r="E400" s="649" t="s">
        <v>4464</v>
      </c>
      <c r="F400" s="649"/>
      <c r="G400" s="645"/>
      <c r="H400" s="10"/>
    </row>
    <row r="401" spans="1:8" ht="19.5" hidden="1" customHeight="1">
      <c r="A401" s="153"/>
      <c r="B401" s="163" t="str">
        <f>'Lang Drops'!D1</f>
        <v>&lt;select from list&gt;</v>
      </c>
      <c r="C401" s="654"/>
      <c r="D401" s="163"/>
      <c r="E401" s="644"/>
      <c r="F401" s="644"/>
      <c r="G401" s="645"/>
      <c r="H401" s="10"/>
    </row>
    <row r="402" spans="1:8" ht="19.5" hidden="1" customHeight="1">
      <c r="A402" s="153"/>
      <c r="B402" s="163" t="str">
        <f>'Lang Drops'!P40</f>
        <v>less than 5°</v>
      </c>
      <c r="C402" s="657"/>
      <c r="D402" s="163"/>
      <c r="E402" s="644"/>
      <c r="F402" s="644"/>
      <c r="G402" s="645"/>
      <c r="H402" s="10"/>
    </row>
    <row r="403" spans="1:8" ht="19.5" hidden="1" customHeight="1">
      <c r="A403" s="153"/>
      <c r="B403" s="163" t="str">
        <f>'Lang Drops'!Q40</f>
        <v>more than 5°</v>
      </c>
      <c r="C403" s="654"/>
      <c r="D403" s="163"/>
      <c r="E403" s="644"/>
      <c r="F403" s="644"/>
      <c r="G403" s="645"/>
      <c r="H403" s="645"/>
    </row>
    <row r="404" spans="1:8" ht="19.5" hidden="1" customHeight="1">
      <c r="A404" s="153"/>
      <c r="B404" s="10"/>
      <c r="C404" s="10"/>
      <c r="D404" s="163"/>
      <c r="E404" s="644"/>
      <c r="F404" s="644"/>
      <c r="G404" s="645"/>
      <c r="H404" s="659">
        <v>1</v>
      </c>
    </row>
    <row r="405" spans="1:8" ht="19.5" hidden="1" customHeight="1">
      <c r="A405" s="153"/>
      <c r="B405" s="163"/>
      <c r="C405" s="654"/>
      <c r="D405" s="163"/>
      <c r="E405" s="644"/>
      <c r="F405" s="644"/>
      <c r="G405" s="645"/>
      <c r="H405" s="645"/>
    </row>
    <row r="406" spans="1:8" ht="19.5" hidden="1" customHeight="1">
      <c r="A406" s="153"/>
      <c r="B406" s="163" t="str">
        <f>'Lang Drops'!D1</f>
        <v>&lt;select from list&gt;</v>
      </c>
      <c r="C406" s="654"/>
      <c r="D406" s="163"/>
      <c r="E406" s="644"/>
      <c r="F406" s="644"/>
      <c r="G406" s="645"/>
      <c r="H406" s="645"/>
    </row>
    <row r="407" spans="1:8" ht="19.5" hidden="1" customHeight="1">
      <c r="A407" s="153"/>
      <c r="B407" s="163" t="str">
        <f>'Lang Drops'!D50</f>
        <v>no engine</v>
      </c>
      <c r="C407" s="654" t="s">
        <v>726</v>
      </c>
      <c r="D407" s="163"/>
      <c r="E407" s="644"/>
      <c r="F407" s="644"/>
      <c r="G407" s="645"/>
      <c r="H407" s="645"/>
    </row>
    <row r="408" spans="1:8" ht="19.5" hidden="1" customHeight="1">
      <c r="A408" s="153"/>
      <c r="B408" s="163" t="str">
        <f>'Lang Drops'!E50</f>
        <v>outboard</v>
      </c>
      <c r="C408" s="657"/>
      <c r="D408" s="163"/>
      <c r="E408" s="644"/>
      <c r="F408" s="644"/>
      <c r="G408" s="645"/>
      <c r="H408" s="645"/>
    </row>
    <row r="409" spans="1:8" ht="19.5" hidden="1" customHeight="1">
      <c r="A409" s="153"/>
      <c r="B409" s="163" t="str">
        <f>'Lang Drops'!F50</f>
        <v>inboard</v>
      </c>
      <c r="C409" s="654"/>
      <c r="D409" s="163"/>
      <c r="E409" s="644"/>
      <c r="F409" s="644"/>
      <c r="G409" s="645"/>
      <c r="H409" s="645"/>
    </row>
    <row r="410" spans="1:8" ht="19.5" hidden="1" customHeight="1">
      <c r="A410" s="153"/>
      <c r="B410" s="163" t="str">
        <f>'Lang Drops'!D1</f>
        <v>&lt;select from list&gt;</v>
      </c>
      <c r="C410" s="654" t="s">
        <v>1766</v>
      </c>
      <c r="D410" s="163"/>
      <c r="E410" s="644"/>
      <c r="F410" s="644"/>
      <c r="G410" s="645"/>
      <c r="H410" s="645"/>
    </row>
    <row r="411" spans="1:8" ht="19.5" hidden="1" customHeight="1">
      <c r="A411" s="153"/>
      <c r="B411" s="163" t="str">
        <f>'Lang Drops'!G50</f>
        <v>n/a:outboard engine</v>
      </c>
      <c r="C411" s="654"/>
      <c r="D411" s="163"/>
      <c r="E411" s="644"/>
      <c r="F411" s="644"/>
      <c r="G411" s="645"/>
      <c r="H411" s="645"/>
    </row>
    <row r="412" spans="1:8" ht="19.5" hidden="1" customHeight="1">
      <c r="A412" s="153"/>
      <c r="B412" s="163" t="str">
        <f>'Lang Drops'!H50</f>
        <v>2 folding / feathering blades</v>
      </c>
      <c r="C412" s="654"/>
      <c r="D412" s="163"/>
      <c r="E412" s="644"/>
      <c r="F412" s="644"/>
      <c r="G412" s="645"/>
      <c r="H412" s="645"/>
    </row>
    <row r="413" spans="1:8" ht="19.5" hidden="1" customHeight="1">
      <c r="A413" s="153"/>
      <c r="B413" s="163" t="str">
        <f>'Lang Drops'!I50</f>
        <v>2 fixed blades</v>
      </c>
      <c r="C413" s="654"/>
      <c r="D413" s="163"/>
      <c r="E413" s="644"/>
      <c r="F413" s="644"/>
      <c r="G413" s="645"/>
      <c r="H413" s="645"/>
    </row>
    <row r="414" spans="1:8" ht="19.5" hidden="1" customHeight="1">
      <c r="A414" s="153"/>
      <c r="B414" s="163" t="str">
        <f>'Lang Drops'!J50</f>
        <v>3 fixed blades</v>
      </c>
      <c r="C414" s="654"/>
      <c r="D414" s="163"/>
      <c r="E414" s="644"/>
      <c r="F414" s="644"/>
      <c r="G414" s="645"/>
      <c r="H414" s="645"/>
    </row>
    <row r="415" spans="1:8" ht="19.5" hidden="1" customHeight="1">
      <c r="A415" s="153"/>
      <c r="B415" s="163" t="str">
        <f>'Lang Drops'!K50</f>
        <v>3 feathering blades</v>
      </c>
      <c r="C415" s="654"/>
      <c r="D415" s="163"/>
      <c r="E415" s="644"/>
      <c r="F415" s="644"/>
      <c r="G415" s="645"/>
      <c r="H415" s="645"/>
    </row>
    <row r="416" spans="1:8" ht="19.5" hidden="1" customHeight="1">
      <c r="A416" s="153"/>
      <c r="B416" s="163" t="str">
        <f>'Lang Drops'!L50</f>
        <v>3 folding blades</v>
      </c>
      <c r="C416" s="654"/>
      <c r="D416" s="163"/>
      <c r="E416" s="644"/>
      <c r="F416" s="644"/>
      <c r="G416" s="645"/>
      <c r="H416" s="645"/>
    </row>
    <row r="417" spans="1:8" ht="19.5" hidden="1" customHeight="1">
      <c r="A417" s="153"/>
      <c r="B417" s="163" t="str">
        <f>'Lang Drops'!M50</f>
        <v>4+ folding / feathering blades</v>
      </c>
      <c r="C417" s="654"/>
      <c r="D417" s="163"/>
      <c r="E417" s="644"/>
      <c r="F417" s="644"/>
      <c r="G417" s="645"/>
      <c r="H417" s="645"/>
    </row>
    <row r="418" spans="1:8" ht="19.5" hidden="1" customHeight="1">
      <c r="A418" s="153"/>
      <c r="B418" s="163" t="str">
        <f>'Lang Drops'!N50</f>
        <v>retractable</v>
      </c>
      <c r="C418" s="654"/>
      <c r="D418" s="163"/>
      <c r="E418" s="644"/>
      <c r="F418" s="644"/>
      <c r="G418" s="645"/>
      <c r="H418" s="645"/>
    </row>
    <row r="419" spans="1:8" ht="19.5" hidden="1" customHeight="1">
      <c r="A419" s="153"/>
      <c r="B419" s="163" t="str">
        <f>'Lang Drops'!D1</f>
        <v>&lt;select from list&gt;</v>
      </c>
      <c r="C419" s="654"/>
      <c r="D419" s="163"/>
      <c r="E419" s="644"/>
      <c r="F419" s="644"/>
      <c r="G419" s="645"/>
      <c r="H419" s="645"/>
    </row>
    <row r="420" spans="1:8" ht="19.5" hidden="1" customHeight="1">
      <c r="A420" s="153"/>
      <c r="B420" s="163" t="str">
        <f>'Lang Drops'!R50</f>
        <v>bermudian</v>
      </c>
      <c r="C420" s="657"/>
      <c r="D420" s="163"/>
      <c r="E420" s="644"/>
      <c r="F420" s="644"/>
      <c r="G420" s="645"/>
      <c r="H420" s="645"/>
    </row>
    <row r="421" spans="1:8" ht="19.5" hidden="1" customHeight="1">
      <c r="A421" s="153"/>
      <c r="B421" s="163" t="str">
        <f>'Lang Drops'!S50</f>
        <v>gaff</v>
      </c>
      <c r="C421" s="654"/>
      <c r="D421" s="163"/>
      <c r="E421" s="644"/>
      <c r="F421" s="644"/>
      <c r="G421" s="645"/>
      <c r="H421" s="645"/>
    </row>
    <row r="422" spans="1:8" ht="19.5" hidden="1" customHeight="1">
      <c r="A422" s="153"/>
      <c r="B422" s="163" t="str">
        <f>'Lang Drops'!T50</f>
        <v>wishbone</v>
      </c>
      <c r="C422" s="654"/>
      <c r="D422" s="163"/>
      <c r="E422" s="644"/>
      <c r="F422" s="644"/>
      <c r="G422" s="645"/>
      <c r="H422" s="645"/>
    </row>
    <row r="423" spans="1:8" ht="19.5" hidden="1" customHeight="1">
      <c r="A423" s="153"/>
      <c r="B423" s="163" t="str">
        <f>'Lang Drops'!D1</f>
        <v>&lt;select from list&gt;</v>
      </c>
      <c r="C423" s="654"/>
      <c r="D423" s="163"/>
      <c r="E423" s="644"/>
      <c r="F423" s="644"/>
      <c r="G423" s="645"/>
      <c r="H423" s="645"/>
    </row>
    <row r="424" spans="1:8" ht="19.5" hidden="1" customHeight="1">
      <c r="A424" s="153"/>
      <c r="B424" s="163" t="str">
        <f>'Lang Drops'!U50</f>
        <v>sloop</v>
      </c>
      <c r="C424" s="654"/>
      <c r="D424" s="163"/>
      <c r="E424" s="644"/>
      <c r="F424" s="644"/>
      <c r="G424" s="645"/>
      <c r="H424" s="645"/>
    </row>
    <row r="425" spans="1:8" ht="19.5" hidden="1" customHeight="1">
      <c r="A425" s="153"/>
      <c r="B425" s="163" t="str">
        <f>'Lang Drops'!V50</f>
        <v>yawl</v>
      </c>
      <c r="C425" s="654"/>
      <c r="D425" s="163"/>
      <c r="E425" s="644"/>
      <c r="F425" s="644"/>
      <c r="G425" s="645"/>
      <c r="H425" s="645"/>
    </row>
    <row r="426" spans="1:8" ht="19.5" hidden="1" customHeight="1">
      <c r="A426" s="153"/>
      <c r="B426" s="163" t="str">
        <f>'Lang Drops'!W50</f>
        <v>ketch</v>
      </c>
      <c r="C426" s="654"/>
      <c r="D426" s="163"/>
      <c r="E426" s="644"/>
      <c r="F426" s="644"/>
      <c r="G426" s="645"/>
      <c r="H426" s="645"/>
    </row>
    <row r="427" spans="1:8" ht="19.5" hidden="1" customHeight="1">
      <c r="A427" s="153"/>
      <c r="B427" s="163" t="str">
        <f>'Lang Drops'!X50</f>
        <v>cutter</v>
      </c>
      <c r="C427" s="654"/>
      <c r="D427" s="163"/>
      <c r="E427" s="644"/>
      <c r="F427" s="644"/>
      <c r="G427" s="645"/>
      <c r="H427" s="645"/>
    </row>
    <row r="428" spans="1:8" ht="19.5" hidden="1" customHeight="1">
      <c r="A428" s="153"/>
      <c r="B428" s="163" t="str">
        <f>'Lang Drops'!Y50</f>
        <v>cat</v>
      </c>
      <c r="C428" s="654"/>
      <c r="D428" s="163"/>
      <c r="E428" s="644"/>
      <c r="F428" s="644"/>
      <c r="G428" s="645"/>
      <c r="H428" s="645"/>
    </row>
    <row r="429" spans="1:8" ht="19.5" hidden="1" customHeight="1">
      <c r="A429" s="153"/>
      <c r="B429" s="163" t="str">
        <f>'Lang Drops'!Z50</f>
        <v>schooner</v>
      </c>
      <c r="C429" s="654"/>
      <c r="D429" s="163"/>
      <c r="E429" s="644"/>
      <c r="F429" s="644"/>
      <c r="G429" s="645"/>
      <c r="H429" s="645"/>
    </row>
    <row r="430" spans="1:8" ht="19.5" hidden="1" customHeight="1">
      <c r="A430" s="153"/>
      <c r="B430" s="163"/>
      <c r="C430" s="654"/>
      <c r="D430" s="163"/>
      <c r="E430" s="644"/>
      <c r="F430" s="644"/>
      <c r="G430" s="645"/>
      <c r="H430" s="645"/>
    </row>
    <row r="431" spans="1:8" ht="19.5" hidden="1" customHeight="1">
      <c r="A431" s="153"/>
      <c r="B431" s="163" t="str">
        <f>'Lang Drops'!D1</f>
        <v>&lt;select from list&gt;</v>
      </c>
      <c r="C431" s="654"/>
      <c r="D431" s="163"/>
      <c r="E431" s="644"/>
      <c r="F431" s="644"/>
      <c r="G431" s="645"/>
      <c r="H431" s="645"/>
    </row>
    <row r="432" spans="1:8" ht="19.5" hidden="1" customHeight="1">
      <c r="A432" s="153"/>
      <c r="B432" s="163" t="str">
        <f>'Lang Drops'!D60</f>
        <v>carbon</v>
      </c>
      <c r="C432" s="654"/>
      <c r="D432" s="163"/>
      <c r="E432" s="644"/>
      <c r="F432" s="644"/>
      <c r="G432" s="645"/>
      <c r="H432" s="645"/>
    </row>
    <row r="433" spans="1:8" ht="19.5" hidden="1" customHeight="1">
      <c r="A433" s="153"/>
      <c r="B433" s="163" t="str">
        <f>'Lang Drops'!E60</f>
        <v>GRP</v>
      </c>
      <c r="C433" s="654"/>
      <c r="D433" s="163"/>
      <c r="E433" s="644"/>
      <c r="F433" s="644"/>
      <c r="G433" s="645"/>
      <c r="H433" s="645"/>
    </row>
    <row r="434" spans="1:8" ht="19.5" hidden="1" customHeight="1">
      <c r="A434" s="153"/>
      <c r="B434" s="163" t="str">
        <f>'Lang Drops'!F60</f>
        <v>hollow steel with or without comp. fairings</v>
      </c>
      <c r="C434" s="654"/>
      <c r="D434" s="163"/>
      <c r="E434" s="644"/>
      <c r="F434" s="644"/>
      <c r="G434" s="645"/>
      <c r="H434" s="645"/>
    </row>
    <row r="435" spans="1:8" ht="19.5" hidden="1" customHeight="1">
      <c r="A435" s="153"/>
      <c r="B435" s="163" t="str">
        <f>'Lang Drops'!G60</f>
        <v>solid steel + composite fairings</v>
      </c>
      <c r="C435" s="659"/>
      <c r="D435" s="163"/>
      <c r="E435" s="644"/>
      <c r="F435" s="644"/>
      <c r="G435" s="645"/>
      <c r="H435" s="645"/>
    </row>
    <row r="436" spans="1:8" ht="19.5" hidden="1" customHeight="1">
      <c r="A436" s="153"/>
      <c r="B436" s="163" t="str">
        <f>'Lang Drops'!H60</f>
        <v>lead + composite fairings</v>
      </c>
      <c r="C436" s="654"/>
      <c r="D436" s="163"/>
      <c r="E436" s="644"/>
      <c r="F436" s="644"/>
      <c r="G436" s="645"/>
      <c r="H436" s="645"/>
    </row>
    <row r="437" spans="1:8" ht="19.5" hidden="1" customHeight="1">
      <c r="A437" s="153"/>
      <c r="B437" s="163" t="str">
        <f>'Lang Drops'!I60</f>
        <v>cast iron + composite fairings</v>
      </c>
      <c r="C437" s="657"/>
      <c r="D437" s="163"/>
      <c r="E437" s="644"/>
      <c r="F437" s="644"/>
      <c r="G437" s="645"/>
      <c r="H437" s="645"/>
    </row>
    <row r="438" spans="1:8" ht="19.5" hidden="1" customHeight="1">
      <c r="A438" s="153"/>
      <c r="B438" s="163" t="str">
        <f>'Lang Drops'!J60</f>
        <v>cast iron + lead + composite fairings</v>
      </c>
      <c r="C438" s="654"/>
      <c r="D438" s="163"/>
      <c r="E438" s="644"/>
      <c r="F438" s="644"/>
      <c r="G438" s="645"/>
      <c r="H438" s="645"/>
    </row>
    <row r="439" spans="1:8" ht="19.5" hidden="1" customHeight="1">
      <c r="A439" s="153"/>
      <c r="B439" s="163" t="str">
        <f>'Lang Drops'!K60</f>
        <v>solid steel (surface fairing only)</v>
      </c>
      <c r="C439" s="654"/>
      <c r="D439" s="163"/>
      <c r="E439" s="644"/>
      <c r="F439" s="644"/>
      <c r="G439" s="645"/>
      <c r="H439" s="645"/>
    </row>
    <row r="440" spans="1:8" ht="19.5" hidden="1" customHeight="1">
      <c r="A440" s="153"/>
      <c r="B440" s="163" t="str">
        <f>'Lang Drops'!L60</f>
        <v>lead (surface fairing only)</v>
      </c>
      <c r="C440" s="654"/>
      <c r="D440" s="163"/>
      <c r="E440" s="644"/>
      <c r="F440" s="644"/>
      <c r="G440" s="645"/>
      <c r="H440" s="645"/>
    </row>
    <row r="441" spans="1:8" ht="19.5" hidden="1" customHeight="1">
      <c r="A441" s="153"/>
      <c r="B441" s="163" t="str">
        <f>'Lang Drops'!M60</f>
        <v>cast iron (surface fairing only)</v>
      </c>
      <c r="C441" s="654"/>
      <c r="D441" s="163"/>
      <c r="E441" s="644"/>
      <c r="F441" s="644"/>
      <c r="G441" s="645"/>
      <c r="H441" s="645"/>
    </row>
    <row r="442" spans="1:8" ht="19.5" hidden="1" customHeight="1">
      <c r="A442" s="153"/>
      <c r="B442" s="163" t="str">
        <f>'Lang Drops'!N60</f>
        <v>lead + cast iron (surface fairing only)</v>
      </c>
      <c r="C442" s="660"/>
      <c r="D442" s="140"/>
      <c r="E442" s="644"/>
      <c r="F442" s="644"/>
      <c r="G442" s="645"/>
      <c r="H442" s="645"/>
    </row>
    <row r="443" spans="1:8" ht="19.5" hidden="1" customHeight="1">
      <c r="A443" s="153"/>
      <c r="B443" s="163" t="str">
        <f>'Lang Drops'!O60</f>
        <v>bronze</v>
      </c>
      <c r="C443" s="141"/>
      <c r="D443" s="140"/>
      <c r="E443" s="644"/>
      <c r="F443" s="644"/>
      <c r="G443" s="645"/>
      <c r="H443" s="645"/>
    </row>
    <row r="444" spans="1:8" ht="19.5" hidden="1" customHeight="1">
      <c r="A444" s="153"/>
      <c r="B444" s="163" t="str">
        <f>'Lang Drops'!P60</f>
        <v>aluminium/alloy</v>
      </c>
      <c r="C444" s="141"/>
      <c r="D444" s="140"/>
      <c r="E444" s="644"/>
      <c r="F444" s="644"/>
      <c r="G444" s="645"/>
      <c r="H444" s="645"/>
    </row>
    <row r="445" spans="1:8" ht="19.5" hidden="1" customHeight="1">
      <c r="A445" s="153"/>
      <c r="B445" s="163" t="str">
        <f>'Lang Drops'!Q60</f>
        <v>other (please specify)</v>
      </c>
      <c r="C445" s="654"/>
      <c r="D445" s="140"/>
      <c r="E445" s="644"/>
      <c r="F445" s="644"/>
      <c r="G445" s="645"/>
      <c r="H445" s="645"/>
    </row>
    <row r="446" spans="1:8" ht="19.5" hidden="1" customHeight="1">
      <c r="A446" s="153"/>
      <c r="B446" s="648"/>
      <c r="C446" s="142"/>
      <c r="D446" s="142"/>
      <c r="E446" s="650"/>
      <c r="F446" s="650"/>
      <c r="G446" s="661"/>
      <c r="H446" s="645"/>
    </row>
    <row r="447" spans="1:8" ht="19.5" hidden="1" customHeight="1">
      <c r="A447" s="153"/>
      <c r="B447" s="648"/>
      <c r="C447" s="142"/>
      <c r="D447" s="142"/>
      <c r="E447" s="650"/>
      <c r="F447" s="650"/>
      <c r="G447" s="661"/>
      <c r="H447" s="645"/>
    </row>
    <row r="448" spans="1:8" ht="19.5" hidden="1" customHeight="1">
      <c r="A448" s="153"/>
      <c r="B448" s="648" t="str">
        <f>'Lang Drops'!D1</f>
        <v>&lt;select from list&gt;</v>
      </c>
      <c r="C448" s="142"/>
      <c r="D448" s="142"/>
      <c r="E448" s="650"/>
      <c r="F448" s="650"/>
      <c r="G448" s="661"/>
      <c r="H448" s="645"/>
    </row>
    <row r="449" spans="1:8" ht="19.5" hidden="1" customHeight="1">
      <c r="A449" s="153"/>
      <c r="B449" s="648" t="str">
        <f>'Lang Drops'!D70</f>
        <v>cast iron</v>
      </c>
      <c r="C449" s="662"/>
      <c r="D449" s="648"/>
      <c r="E449" s="650"/>
      <c r="F449" s="650"/>
      <c r="G449" s="661"/>
      <c r="H449" s="645"/>
    </row>
    <row r="450" spans="1:8" ht="19.5" hidden="1" customHeight="1">
      <c r="A450" s="153"/>
      <c r="B450" s="163" t="str">
        <f>'Lang Drops'!E70</f>
        <v>lead</v>
      </c>
      <c r="C450" s="654"/>
      <c r="D450" s="163"/>
      <c r="E450" s="644"/>
      <c r="F450" s="644"/>
      <c r="G450" s="645"/>
      <c r="H450" s="645"/>
    </row>
    <row r="451" spans="1:8" ht="19.5" hidden="1" customHeight="1">
      <c r="A451" s="153"/>
      <c r="B451" s="648" t="str">
        <f>'Lang Drops'!F70</f>
        <v>other (please specify)</v>
      </c>
      <c r="C451" s="654"/>
      <c r="D451" s="163"/>
      <c r="E451" s="644"/>
      <c r="F451" s="644"/>
      <c r="G451" s="645"/>
      <c r="H451" s="645"/>
    </row>
    <row r="452" spans="1:8" ht="19.5" hidden="1" customHeight="1">
      <c r="A452" s="153"/>
      <c r="B452" s="163" t="str">
        <f>'Lang Drops'!G70</f>
        <v>n/a (no bulb)</v>
      </c>
      <c r="C452" s="654"/>
      <c r="D452" s="163"/>
      <c r="E452" s="644"/>
      <c r="F452" s="644"/>
      <c r="G452" s="645"/>
      <c r="H452" s="645"/>
    </row>
    <row r="453" spans="1:8" ht="19.5" hidden="1" customHeight="1">
      <c r="A453" s="153"/>
      <c r="B453" s="163" t="str">
        <f>'Lang Drops'!D1</f>
        <v>&lt;select from list&gt;</v>
      </c>
      <c r="C453" s="654"/>
      <c r="D453" s="163"/>
      <c r="E453" s="140"/>
      <c r="F453" s="644"/>
      <c r="G453" s="645"/>
      <c r="H453" s="645"/>
    </row>
    <row r="454" spans="1:8" ht="19.5" hidden="1" customHeight="1">
      <c r="A454" s="153"/>
      <c r="B454" s="163" t="str">
        <f>'Lang Drops'!H70</f>
        <v>Traditional (solid wood, plywood, uncored GRP laminate, etc)</v>
      </c>
      <c r="C454" s="654"/>
      <c r="D454" s="163"/>
      <c r="E454" s="644"/>
      <c r="F454" s="644"/>
      <c r="G454" s="645"/>
      <c r="H454" s="645"/>
    </row>
    <row r="455" spans="1:8" ht="19.5" hidden="1" customHeight="1">
      <c r="A455" s="153"/>
      <c r="B455" s="163" t="str">
        <f>'Lang Drops'!I70</f>
        <v>Light (thin and/or foam cored veneered and/or GRP laminate panels, etc)</v>
      </c>
      <c r="C455" s="654"/>
      <c r="D455" s="163"/>
      <c r="E455" s="140"/>
      <c r="F455" s="644"/>
      <c r="G455" s="645"/>
      <c r="H455" s="645"/>
    </row>
    <row r="456" spans="1:8" ht="19.5" hidden="1" customHeight="1">
      <c r="A456" s="153"/>
      <c r="B456" s="163" t="str">
        <f>'Lang Drops'!J70</f>
        <v>Racing (carbon, nomex and other hi-tech materials)</v>
      </c>
      <c r="C456" s="654"/>
      <c r="D456" s="163"/>
      <c r="E456" s="140"/>
      <c r="F456" s="644"/>
      <c r="G456" s="645"/>
      <c r="H456" s="645"/>
    </row>
    <row r="457" spans="1:8" ht="19.5" hidden="1" customHeight="1">
      <c r="A457" s="153"/>
      <c r="B457" s="163"/>
      <c r="C457" s="654"/>
      <c r="D457" s="163"/>
      <c r="E457" s="140"/>
      <c r="F457" s="644"/>
      <c r="G457" s="645"/>
      <c r="H457" s="645"/>
    </row>
    <row r="458" spans="1:8" ht="19.5" hidden="1" customHeight="1">
      <c r="A458" s="153"/>
      <c r="B458" s="163" t="str">
        <f>'Lang Drops'!D1</f>
        <v>&lt;select from list&gt;</v>
      </c>
      <c r="C458" s="654"/>
      <c r="D458" s="163"/>
      <c r="E458" s="140"/>
      <c r="F458" s="644"/>
      <c r="G458" s="645"/>
      <c r="H458" s="645"/>
    </row>
    <row r="459" spans="1:8" ht="19.5" hidden="1" customHeight="1">
      <c r="A459" s="153"/>
      <c r="B459" s="663" t="str">
        <f>'Lang Drops'!D80</f>
        <v>1 Traditional, attached rudder</v>
      </c>
      <c r="C459" s="654"/>
      <c r="D459" s="163"/>
      <c r="E459" s="140"/>
      <c r="F459" s="644"/>
      <c r="G459" s="645"/>
      <c r="H459" s="645"/>
    </row>
    <row r="460" spans="1:8" ht="19.5" hidden="1" customHeight="1">
      <c r="A460" s="153"/>
      <c r="B460" s="663" t="str">
        <f>'Lang Drops'!E80</f>
        <v>2 Long keel with separate rudder</v>
      </c>
      <c r="C460" s="654"/>
      <c r="D460" s="163"/>
      <c r="E460" s="644"/>
      <c r="F460" s="644"/>
      <c r="G460" s="645"/>
      <c r="H460" s="645"/>
    </row>
    <row r="461" spans="1:8" ht="19.5" hidden="1" customHeight="1">
      <c r="A461" s="153"/>
      <c r="B461" s="663" t="str">
        <f>'Lang Drops'!F80</f>
        <v>3 mickey mouse</v>
      </c>
      <c r="C461" s="654"/>
      <c r="D461" s="163"/>
      <c r="E461" s="644"/>
      <c r="F461" s="644"/>
      <c r="G461" s="645"/>
      <c r="H461" s="645"/>
    </row>
    <row r="462" spans="1:8" ht="19.5" hidden="1" customHeight="1">
      <c r="A462" s="153"/>
      <c r="B462" s="663" t="str">
        <f>'Lang Drops'!G80</f>
        <v>4 tapered fin</v>
      </c>
      <c r="C462" s="143"/>
      <c r="D462" s="163"/>
      <c r="E462" s="644"/>
      <c r="F462" s="644"/>
      <c r="G462" s="645"/>
      <c r="H462" s="645"/>
    </row>
    <row r="463" spans="1:8" ht="19.5" hidden="1" customHeight="1">
      <c r="A463" s="153"/>
      <c r="B463" s="663" t="str">
        <f>'Lang Drops'!H80</f>
        <v>5 straight fin</v>
      </c>
      <c r="C463" s="654"/>
      <c r="D463" s="163"/>
      <c r="E463" s="644"/>
      <c r="F463" s="644"/>
      <c r="G463" s="645"/>
      <c r="H463" s="645"/>
    </row>
    <row r="464" spans="1:8" ht="19.5" hidden="1" customHeight="1">
      <c r="A464" s="153"/>
      <c r="B464" s="663" t="str">
        <f>'Lang Drops'!I80</f>
        <v>6 straight deep fin</v>
      </c>
      <c r="C464" s="654"/>
      <c r="D464" s="163"/>
      <c r="E464" s="644"/>
      <c r="F464" s="644"/>
      <c r="G464" s="645"/>
      <c r="H464" s="645"/>
    </row>
    <row r="465" spans="1:8" ht="19.5" hidden="1" customHeight="1">
      <c r="A465" s="153"/>
      <c r="B465" s="663" t="str">
        <f>'Lang Drops'!J80</f>
        <v>7 flare low cg</v>
      </c>
      <c r="C465" s="654"/>
      <c r="D465" s="163"/>
      <c r="E465" s="644"/>
      <c r="F465" s="644"/>
      <c r="G465" s="645"/>
      <c r="H465" s="645"/>
    </row>
    <row r="466" spans="1:8" ht="19.5" hidden="1" customHeight="1">
      <c r="A466" s="153"/>
      <c r="B466" s="663" t="str">
        <f>'Lang Drops'!K80</f>
        <v>8 flare low cg, deep fin</v>
      </c>
      <c r="C466" s="654"/>
      <c r="D466" s="163"/>
      <c r="E466" s="644"/>
      <c r="F466" s="644"/>
      <c r="G466" s="645"/>
      <c r="H466" s="645"/>
    </row>
    <row r="467" spans="1:8" ht="19.5" hidden="1" customHeight="1">
      <c r="A467" s="153"/>
      <c r="B467" s="663" t="str">
        <f>'Lang Drops'!L80</f>
        <v>9 'L' bulb/low cg</v>
      </c>
      <c r="C467" s="654"/>
      <c r="D467" s="163"/>
      <c r="E467" s="644"/>
      <c r="F467" s="644"/>
      <c r="G467" s="645"/>
      <c r="H467" s="645"/>
    </row>
    <row r="468" spans="1:8" ht="19.5" hidden="1" customHeight="1">
      <c r="A468" s="153"/>
      <c r="B468" s="663" t="str">
        <f>'Lang Drops'!M80</f>
        <v>10 'T' bulb</v>
      </c>
      <c r="C468" s="654"/>
      <c r="D468" s="163"/>
      <c r="E468" s="644"/>
      <c r="F468" s="644"/>
      <c r="G468" s="645"/>
      <c r="H468" s="645"/>
    </row>
    <row r="469" spans="1:8" ht="19.5" hidden="1" customHeight="1">
      <c r="A469" s="153"/>
      <c r="B469" s="163" t="str">
        <f>'Lang Drops'!N80</f>
        <v>11 'L' bulb, deep fin</v>
      </c>
      <c r="C469" s="654"/>
      <c r="D469" s="163"/>
      <c r="E469" s="644"/>
      <c r="F469" s="644"/>
      <c r="G469" s="645"/>
      <c r="H469" s="645"/>
    </row>
    <row r="470" spans="1:8" ht="19.5" hidden="1" customHeight="1">
      <c r="A470" s="153"/>
      <c r="B470" s="663" t="str">
        <f>'Lang Drops'!O80</f>
        <v>12 deep bulb + winglets</v>
      </c>
      <c r="C470" s="654"/>
      <c r="D470" s="163"/>
      <c r="E470" s="644"/>
      <c r="F470" s="644"/>
      <c r="G470" s="645"/>
      <c r="H470" s="645"/>
    </row>
    <row r="471" spans="1:8" ht="19.5" hidden="1" customHeight="1">
      <c r="A471" s="153"/>
      <c r="B471" s="663" t="str">
        <f>'Lang Drops'!P80</f>
        <v>13 wing</v>
      </c>
      <c r="C471" s="654"/>
      <c r="D471" s="163"/>
      <c r="E471" s="644"/>
      <c r="F471" s="644"/>
      <c r="G471" s="645"/>
      <c r="H471" s="645"/>
    </row>
    <row r="472" spans="1:8" ht="19.5" hidden="1" customHeight="1">
      <c r="A472" s="153"/>
      <c r="B472" s="163" t="str">
        <f>'Lang Drops'!Q80</f>
        <v>14 Other (supply pictures)</v>
      </c>
      <c r="C472" s="654"/>
      <c r="D472" s="163"/>
      <c r="E472" s="644"/>
      <c r="F472" s="644"/>
      <c r="G472" s="645"/>
      <c r="H472" s="645"/>
    </row>
    <row r="473" spans="1:8" ht="19.5" hidden="1" customHeight="1">
      <c r="A473" s="153"/>
      <c r="B473" s="163"/>
      <c r="C473" s="654"/>
      <c r="D473" s="163"/>
      <c r="E473" s="644"/>
      <c r="F473" s="644"/>
      <c r="G473" s="645"/>
      <c r="H473" s="645"/>
    </row>
    <row r="474" spans="1:8" ht="19.5" hidden="1" customHeight="1">
      <c r="A474" s="153"/>
      <c r="B474" s="163" t="str">
        <f>'Lang Drops'!D1</f>
        <v>&lt;select from list&gt;</v>
      </c>
      <c r="C474" s="654"/>
      <c r="D474" s="163"/>
      <c r="E474" s="644"/>
      <c r="F474" s="644"/>
      <c r="G474" s="645"/>
      <c r="H474" s="645"/>
    </row>
    <row r="475" spans="1:8" ht="19.5" hidden="1" customHeight="1">
      <c r="A475" s="153"/>
      <c r="B475" s="163" t="str">
        <f>'Lang Drops'!D90</f>
        <v>Visa</v>
      </c>
      <c r="C475" s="654"/>
      <c r="D475" s="163"/>
      <c r="E475" s="644"/>
      <c r="F475" s="644"/>
      <c r="G475" s="645"/>
      <c r="H475" s="645"/>
    </row>
    <row r="476" spans="1:8" ht="19.5" hidden="1" customHeight="1">
      <c r="A476" s="153"/>
      <c r="B476" s="163" t="s">
        <v>3390</v>
      </c>
      <c r="C476" s="654"/>
      <c r="D476" s="163"/>
      <c r="E476" s="644"/>
      <c r="F476" s="644"/>
      <c r="G476" s="645"/>
      <c r="H476" s="645"/>
    </row>
    <row r="477" spans="1:8" ht="19.5" hidden="1" customHeight="1">
      <c r="A477" s="153"/>
      <c r="B477" s="163" t="str">
        <f>'Lang Drops'!E90</f>
        <v>MasterCard</v>
      </c>
      <c r="C477" s="654"/>
      <c r="D477" s="163"/>
      <c r="E477" s="644"/>
      <c r="F477" s="644"/>
      <c r="G477" s="645"/>
      <c r="H477" s="645"/>
    </row>
    <row r="478" spans="1:8" ht="19.5" hidden="1" customHeight="1">
      <c r="A478" s="153"/>
      <c r="B478" s="163" t="str">
        <f>'Lang Drops'!F90</f>
        <v>Maestro</v>
      </c>
      <c r="C478" s="654"/>
      <c r="D478" s="163"/>
      <c r="E478" s="644"/>
      <c r="F478" s="644"/>
      <c r="G478" s="645"/>
      <c r="H478" s="645"/>
    </row>
    <row r="479" spans="1:8" ht="19.5" hidden="1" customHeight="1">
      <c r="A479" s="153"/>
      <c r="B479" s="163" t="s">
        <v>3</v>
      </c>
      <c r="C479" s="654"/>
      <c r="D479" s="163"/>
      <c r="E479" s="644"/>
      <c r="F479" s="644"/>
      <c r="G479" s="645"/>
      <c r="H479" s="645"/>
    </row>
    <row r="480" spans="1:8" ht="19.5" hidden="1" customHeight="1">
      <c r="A480" s="153"/>
      <c r="B480" s="163"/>
      <c r="C480" s="654"/>
      <c r="D480" s="163"/>
      <c r="E480" s="644"/>
      <c r="F480" s="644"/>
      <c r="G480" s="645"/>
      <c r="H480" s="645"/>
    </row>
    <row r="481" spans="1:8" ht="19.5" hidden="1" customHeight="1">
      <c r="A481" s="153"/>
      <c r="B481" s="140" t="str">
        <f>'Lang Drops'!D1</f>
        <v>&lt;select from list&gt;</v>
      </c>
      <c r="C481" s="654"/>
      <c r="D481" s="163"/>
      <c r="E481" s="644"/>
      <c r="F481" s="644"/>
      <c r="G481" s="645"/>
      <c r="H481" s="645"/>
    </row>
    <row r="482" spans="1:8" ht="19.5" hidden="1" customHeight="1">
      <c r="A482" s="153"/>
      <c r="B482" s="140" t="str">
        <f>'Lang Drops'!G90</f>
        <v>composite (eg. Carbon, PBO)</v>
      </c>
      <c r="C482" s="654"/>
      <c r="D482" s="163"/>
      <c r="E482" s="644"/>
      <c r="F482" s="644"/>
      <c r="G482" s="645"/>
      <c r="H482" s="645"/>
    </row>
    <row r="483" spans="1:8" ht="19.5" hidden="1" customHeight="1">
      <c r="A483" s="153"/>
      <c r="B483" s="140" t="str">
        <f>'Lang Drops'!H90</f>
        <v>rod with composite forestay only</v>
      </c>
      <c r="C483" s="654"/>
      <c r="D483" s="163"/>
      <c r="E483" s="644"/>
      <c r="F483" s="644"/>
      <c r="G483" s="645"/>
      <c r="H483" s="645"/>
    </row>
    <row r="484" spans="1:8" ht="19.5" hidden="1" customHeight="1">
      <c r="A484" s="153"/>
      <c r="B484" s="140" t="str">
        <f>'Lang Drops'!I90</f>
        <v>rod only</v>
      </c>
      <c r="C484" s="654"/>
      <c r="D484" s="163"/>
      <c r="E484" s="644"/>
      <c r="F484" s="644"/>
      <c r="G484" s="645"/>
      <c r="H484" s="645"/>
    </row>
    <row r="485" spans="1:8" ht="19.5" hidden="1" customHeight="1">
      <c r="A485" s="153"/>
      <c r="B485" s="140" t="str">
        <f>'Lang Drops'!J90</f>
        <v>wire</v>
      </c>
      <c r="C485" s="657"/>
      <c r="D485" s="163"/>
      <c r="E485" s="644"/>
      <c r="F485" s="644"/>
      <c r="G485" s="645"/>
      <c r="H485" s="645"/>
    </row>
    <row r="486" spans="1:8" ht="19.5" hidden="1" customHeight="1">
      <c r="A486" s="153"/>
      <c r="B486" s="140" t="str">
        <f>'Lang Drops'!K90</f>
        <v>wire with rod forestay only</v>
      </c>
      <c r="C486" s="657"/>
      <c r="D486" s="163"/>
      <c r="E486" s="644"/>
      <c r="F486" s="644"/>
      <c r="G486" s="645"/>
      <c r="H486" s="645"/>
    </row>
    <row r="487" spans="1:8" ht="19.5" hidden="1" customHeight="1">
      <c r="A487" s="153"/>
      <c r="B487" s="140" t="str">
        <f>'Lang Drops'!L90</f>
        <v>wire with composite forestay only</v>
      </c>
      <c r="C487" s="657"/>
      <c r="D487" s="163"/>
      <c r="E487" s="644"/>
      <c r="F487" s="644"/>
      <c r="G487" s="645"/>
      <c r="H487" s="645"/>
    </row>
    <row r="488" spans="1:8" ht="19.5" hidden="1" customHeight="1">
      <c r="A488" s="153"/>
      <c r="B488" s="140" t="str">
        <f>'Lang Drops'!M90</f>
        <v>other (specify)</v>
      </c>
      <c r="C488" s="654"/>
      <c r="D488" s="163"/>
      <c r="E488" s="644"/>
      <c r="F488" s="644"/>
      <c r="G488" s="645"/>
      <c r="H488" s="645"/>
    </row>
    <row r="489" spans="1:8" ht="19.5" hidden="1" customHeight="1">
      <c r="A489" s="153"/>
      <c r="B489" s="140"/>
      <c r="C489" s="654"/>
      <c r="D489" s="163"/>
      <c r="E489" s="644"/>
      <c r="F489" s="644"/>
      <c r="G489" s="645"/>
      <c r="H489" s="645"/>
    </row>
    <row r="490" spans="1:8" ht="19.5" hidden="1" customHeight="1">
      <c r="A490" s="153"/>
      <c r="B490" s="140" t="str">
        <f>'Lang Drops'!D100</f>
        <v>&lt;select from list&gt;</v>
      </c>
      <c r="C490" s="654"/>
      <c r="D490" s="163"/>
      <c r="E490" s="644"/>
      <c r="F490" s="644"/>
      <c r="G490" s="645"/>
      <c r="H490" s="645"/>
    </row>
    <row r="491" spans="1:8" ht="19.5" hidden="1" customHeight="1">
      <c r="A491" s="153"/>
      <c r="B491" s="163" t="str">
        <f>'Lang Drops'!E100</f>
        <v>No</v>
      </c>
      <c r="C491" s="654"/>
      <c r="D491" s="163"/>
      <c r="E491" s="644"/>
      <c r="F491" s="644"/>
      <c r="G491" s="645"/>
      <c r="H491" s="645"/>
    </row>
    <row r="492" spans="1:8" ht="19.5" hidden="1" customHeight="1">
      <c r="A492" s="153"/>
      <c r="B492" s="163" t="str">
        <f>'Lang Drops'!F100</f>
        <v>Yes: Backstay ONLY</v>
      </c>
      <c r="C492" s="654"/>
      <c r="D492" s="163"/>
      <c r="E492" s="644"/>
      <c r="F492" s="644"/>
      <c r="G492" s="645"/>
      <c r="H492" s="645"/>
    </row>
    <row r="493" spans="1:8" ht="19.5" hidden="1" customHeight="1">
      <c r="A493" s="153"/>
      <c r="B493" s="163" t="str">
        <f>'Lang Drops'!G100</f>
        <v>Yes: Running rigging</v>
      </c>
      <c r="C493" s="654"/>
      <c r="D493" s="163"/>
      <c r="E493" s="644"/>
      <c r="F493" s="644"/>
      <c r="G493" s="645"/>
      <c r="H493" s="645"/>
    </row>
    <row r="494" spans="1:8" ht="19.5" hidden="1" customHeight="1">
      <c r="A494" s="153"/>
      <c r="B494" s="163"/>
      <c r="C494" s="654"/>
      <c r="D494" s="163"/>
      <c r="E494" s="644"/>
      <c r="F494" s="644"/>
      <c r="G494" s="645"/>
      <c r="H494" s="645"/>
    </row>
    <row r="495" spans="1:8" ht="19.5" hidden="1" customHeight="1">
      <c r="A495" s="153"/>
      <c r="B495" s="163" t="str">
        <f>'Lang Pay'!L27</f>
        <v xml:space="preserve">IRC Certificates Expire </v>
      </c>
      <c r="C495" s="654"/>
      <c r="D495" s="163"/>
      <c r="E495" s="644"/>
      <c r="F495" s="644"/>
      <c r="G495" s="645"/>
      <c r="H495" s="645"/>
    </row>
    <row r="496" spans="1:8" ht="19.5" hidden="1" customHeight="1">
      <c r="A496" s="153"/>
      <c r="B496" s="163"/>
      <c r="C496" s="654"/>
      <c r="D496" s="163"/>
      <c r="E496" s="644"/>
      <c r="F496" s="644"/>
      <c r="G496" s="645"/>
      <c r="H496" s="645"/>
    </row>
    <row r="497" spans="1:8" ht="19.5" hidden="1" customHeight="1">
      <c r="A497" s="153"/>
      <c r="B497" s="163" t="str">
        <f>'Lang Drops'!H100</f>
        <v>&lt;select&gt;</v>
      </c>
      <c r="C497" s="654"/>
      <c r="D497" s="163"/>
      <c r="E497" s="644"/>
      <c r="F497" s="644"/>
      <c r="G497" s="645"/>
      <c r="H497" s="645"/>
    </row>
    <row r="498" spans="1:8" ht="19.5" hidden="1" customHeight="1">
      <c r="A498" s="153"/>
      <c r="B498" s="163" t="str">
        <f>'Lang Drops'!I100</f>
        <v>Yes</v>
      </c>
      <c r="C498" s="654"/>
      <c r="D498" s="163"/>
      <c r="E498" s="644"/>
      <c r="F498" s="644"/>
      <c r="G498" s="645"/>
      <c r="H498" s="645"/>
    </row>
    <row r="499" spans="1:8" ht="19.5" hidden="1" customHeight="1">
      <c r="A499" s="153"/>
      <c r="B499" s="163" t="str">
        <f>'Lang Drops'!J100</f>
        <v>No</v>
      </c>
      <c r="C499" s="654"/>
      <c r="D499" s="163"/>
      <c r="E499" s="644"/>
      <c r="F499" s="644"/>
      <c r="G499" s="645"/>
      <c r="H499" s="645"/>
    </row>
    <row r="500" spans="1:8" ht="19.5" hidden="1" customHeight="1">
      <c r="A500" s="153"/>
      <c r="B500" s="163"/>
      <c r="C500" s="654"/>
      <c r="D500" s="163"/>
      <c r="E500" s="644"/>
      <c r="F500" s="644"/>
      <c r="G500" s="645"/>
      <c r="H500" s="645"/>
    </row>
    <row r="501" spans="1:8" ht="19.5" hidden="1" customHeight="1">
      <c r="A501" s="153"/>
      <c r="B501" s="163" t="str">
        <f>'Lang Drops'!D111</f>
        <v>&lt;select from list&gt;</v>
      </c>
      <c r="C501" s="163" t="str">
        <f>'Lang Drops'!H111</f>
        <v>Bow thruster</v>
      </c>
      <c r="D501" s="163"/>
      <c r="E501" s="644"/>
      <c r="F501" s="644"/>
      <c r="G501" s="645"/>
      <c r="H501" s="645"/>
    </row>
    <row r="502" spans="1:8" ht="19.5" hidden="1" customHeight="1">
      <c r="A502" s="153"/>
      <c r="B502" s="163" t="str">
        <f>'Lang Drops'!E111</f>
        <v>No</v>
      </c>
      <c r="C502" s="654"/>
      <c r="D502" s="163"/>
      <c r="E502" s="644"/>
      <c r="F502" s="644"/>
      <c r="G502" s="645"/>
      <c r="H502" s="645"/>
    </row>
    <row r="503" spans="1:8" ht="19.5" hidden="1" customHeight="1">
      <c r="A503" s="153"/>
      <c r="B503" s="163" t="str">
        <f>'Lang Drops'!F111</f>
        <v>Yes, retractable</v>
      </c>
      <c r="C503" s="654"/>
      <c r="D503" s="163"/>
      <c r="E503" s="644"/>
      <c r="F503" s="644"/>
      <c r="G503" s="645"/>
      <c r="H503" s="645"/>
    </row>
    <row r="504" spans="1:8" ht="19.5" hidden="1" customHeight="1">
      <c r="A504" s="153"/>
      <c r="B504" s="163" t="str">
        <f>'Lang Drops'!G111</f>
        <v>Yes, in an open tunnel</v>
      </c>
      <c r="C504" s="654"/>
      <c r="D504" s="163"/>
      <c r="E504" s="644"/>
      <c r="F504" s="644"/>
      <c r="G504" s="645"/>
      <c r="H504" s="645"/>
    </row>
    <row r="505" spans="1:8" ht="19.5" hidden="1" customHeight="1">
      <c r="A505" s="153"/>
      <c r="B505" s="163"/>
      <c r="C505" s="654"/>
      <c r="D505" s="163"/>
      <c r="E505" s="644"/>
      <c r="F505" s="644"/>
      <c r="G505" s="645"/>
      <c r="H505" s="645"/>
    </row>
    <row r="506" spans="1:8" ht="19.5" hidden="1" customHeight="1">
      <c r="A506" s="153"/>
      <c r="B506" s="10"/>
      <c r="C506" s="10"/>
      <c r="D506" s="10"/>
      <c r="E506" s="10"/>
      <c r="F506" s="10"/>
      <c r="G506" s="10"/>
      <c r="H506" s="645"/>
    </row>
    <row r="507" spans="1:8" ht="19.5" hidden="1" customHeight="1">
      <c r="A507" s="153"/>
      <c r="B507" s="664" t="str">
        <f>'Lang Drops'!D111</f>
        <v>&lt;select from list&gt;</v>
      </c>
      <c r="C507" s="10"/>
      <c r="D507" s="10"/>
      <c r="E507" s="10"/>
      <c r="F507" s="10"/>
      <c r="G507" s="10"/>
      <c r="H507" s="645"/>
    </row>
    <row r="508" spans="1:8" ht="19.5" hidden="1" customHeight="1">
      <c r="A508" s="153"/>
      <c r="B508" s="664">
        <v>1</v>
      </c>
      <c r="C508" s="10"/>
      <c r="D508" s="10"/>
      <c r="E508" s="10"/>
      <c r="F508" s="10"/>
      <c r="G508" s="10"/>
      <c r="H508" s="645"/>
    </row>
    <row r="509" spans="1:8" ht="19.5" hidden="1" customHeight="1">
      <c r="A509" s="153"/>
      <c r="B509" s="664">
        <v>2</v>
      </c>
      <c r="C509" s="10"/>
      <c r="D509" s="10"/>
      <c r="E509" s="10"/>
      <c r="F509" s="10"/>
      <c r="G509" s="10"/>
      <c r="H509" s="645"/>
    </row>
    <row r="510" spans="1:8" ht="19.5" hidden="1" customHeight="1">
      <c r="A510" s="153"/>
      <c r="B510" s="664">
        <v>3</v>
      </c>
      <c r="C510" s="10"/>
      <c r="D510" s="10"/>
      <c r="E510" s="10"/>
      <c r="F510" s="10"/>
      <c r="G510" s="10"/>
      <c r="H510" s="645"/>
    </row>
    <row r="511" spans="1:8" ht="19.5" hidden="1" customHeight="1">
      <c r="A511" s="153"/>
      <c r="B511" s="664">
        <v>4</v>
      </c>
      <c r="C511" s="10"/>
      <c r="D511" s="10"/>
      <c r="E511" s="10"/>
      <c r="F511" s="10"/>
      <c r="G511" s="10"/>
      <c r="H511" s="645"/>
    </row>
    <row r="512" spans="1:8" ht="19.5" hidden="1" customHeight="1">
      <c r="A512" s="153"/>
      <c r="B512" s="664">
        <v>5</v>
      </c>
      <c r="C512" s="10"/>
      <c r="D512" s="10"/>
      <c r="E512" s="10"/>
      <c r="F512" s="10"/>
      <c r="G512" s="10"/>
      <c r="H512" s="645"/>
    </row>
    <row r="513" spans="1:17" ht="19.5" hidden="1" customHeight="1">
      <c r="A513" s="153"/>
      <c r="B513" s="645" t="s">
        <v>126</v>
      </c>
      <c r="C513" s="10"/>
      <c r="D513" s="10"/>
      <c r="E513" s="10"/>
      <c r="F513" s="10"/>
      <c r="G513" s="10"/>
      <c r="H513" s="645"/>
    </row>
    <row r="514" spans="1:17" s="415" customFormat="1" ht="19.5" hidden="1" customHeight="1">
      <c r="A514" s="665"/>
      <c r="B514" s="417"/>
      <c r="C514" s="417"/>
      <c r="D514" s="417"/>
      <c r="E514" s="417"/>
      <c r="F514" s="417"/>
      <c r="G514" s="417"/>
      <c r="H514" s="417"/>
      <c r="J514" s="416"/>
      <c r="Q514" s="417"/>
    </row>
    <row r="515" spans="1:17" s="415" customFormat="1" ht="19.5" hidden="1" customHeight="1">
      <c r="A515" s="665"/>
      <c r="B515" s="417" t="str">
        <f>'Lang Drops'!D111</f>
        <v>&lt;select from list&gt;</v>
      </c>
      <c r="C515" s="417"/>
      <c r="D515" s="417"/>
      <c r="E515" s="417"/>
      <c r="F515" s="417"/>
      <c r="G515" s="417"/>
      <c r="H515" s="417"/>
      <c r="J515" s="416"/>
      <c r="Q515" s="417"/>
    </row>
    <row r="516" spans="1:17" s="415" customFormat="1" ht="19.5" hidden="1" customHeight="1">
      <c r="A516" s="665"/>
      <c r="B516" s="417" t="str">
        <f>'Lang Drops'!J100</f>
        <v>No</v>
      </c>
      <c r="C516" s="417"/>
      <c r="D516" s="417"/>
      <c r="E516" s="417"/>
      <c r="F516" s="417"/>
      <c r="G516" s="417"/>
      <c r="H516" s="417"/>
      <c r="J516" s="416"/>
      <c r="Q516" s="417"/>
    </row>
    <row r="517" spans="1:17" s="415" customFormat="1" ht="19.5" hidden="1" customHeight="1">
      <c r="A517" s="665"/>
      <c r="B517" s="417" t="str">
        <f>'Lang Drops'!L100</f>
        <v>Yes, but will never be used while racing</v>
      </c>
      <c r="C517" s="417"/>
      <c r="D517" s="417"/>
      <c r="E517" s="417"/>
      <c r="F517" s="417"/>
      <c r="G517" s="417"/>
      <c r="H517" s="417"/>
      <c r="J517" s="416"/>
      <c r="Q517" s="417"/>
    </row>
    <row r="518" spans="1:17" s="415" customFormat="1" ht="19.5" hidden="1" customHeight="1">
      <c r="A518" s="665"/>
      <c r="B518" s="417" t="str">
        <f>'Lang Drops'!K100</f>
        <v>Yes, used while racing</v>
      </c>
      <c r="C518" s="417"/>
      <c r="D518" s="417"/>
      <c r="E518" s="417"/>
      <c r="F518" s="417"/>
      <c r="G518" s="417"/>
      <c r="H518" s="417"/>
      <c r="J518" s="416"/>
      <c r="Q518" s="417"/>
    </row>
    <row r="519" spans="1:17" s="415" customFormat="1" ht="19.5" hidden="1" customHeight="1">
      <c r="A519" s="665"/>
      <c r="B519" s="417"/>
      <c r="C519" s="417"/>
      <c r="D519" s="417"/>
      <c r="E519" s="417"/>
      <c r="F519" s="417"/>
      <c r="G519" s="417"/>
      <c r="H519" s="417"/>
      <c r="J519" s="416"/>
      <c r="Q519" s="417"/>
    </row>
    <row r="520" spans="1:17" ht="19.5" hidden="1" customHeight="1">
      <c r="A520" s="153"/>
      <c r="B520" s="10"/>
      <c r="C520" s="10"/>
      <c r="D520" s="10"/>
      <c r="E520" s="10"/>
      <c r="F520" s="10"/>
      <c r="G520" s="10"/>
      <c r="H520" s="645"/>
    </row>
    <row r="521" spans="1:17" ht="19.5" hidden="1" customHeight="1">
      <c r="A521" s="153"/>
      <c r="B521" s="664">
        <v>0</v>
      </c>
      <c r="C521" s="10"/>
      <c r="D521" s="10"/>
      <c r="E521" s="10"/>
      <c r="F521" s="10"/>
      <c r="G521" s="10"/>
      <c r="H521" s="645"/>
    </row>
    <row r="522" spans="1:17" ht="19.5" hidden="1" customHeight="1">
      <c r="A522" s="153"/>
      <c r="B522" s="664">
        <v>1</v>
      </c>
      <c r="C522" s="10"/>
      <c r="D522" s="10"/>
      <c r="E522" s="10"/>
      <c r="F522" s="10"/>
      <c r="G522" s="10"/>
      <c r="H522" s="645"/>
    </row>
    <row r="523" spans="1:17" ht="19.5" hidden="1" customHeight="1">
      <c r="A523" s="153"/>
      <c r="B523" s="664">
        <v>2</v>
      </c>
      <c r="C523" s="10"/>
      <c r="D523" s="10"/>
      <c r="E523" s="10"/>
      <c r="F523" s="10"/>
      <c r="G523" s="10"/>
      <c r="H523" s="645"/>
    </row>
    <row r="524" spans="1:17" ht="19.5" hidden="1" customHeight="1">
      <c r="A524" s="153"/>
      <c r="B524" s="664">
        <v>3</v>
      </c>
      <c r="C524" s="10"/>
      <c r="D524" s="10"/>
      <c r="E524" s="10"/>
      <c r="F524" s="10"/>
      <c r="G524" s="10"/>
      <c r="H524" s="645"/>
    </row>
    <row r="525" spans="1:17" ht="19.5" hidden="1" customHeight="1">
      <c r="A525" s="153"/>
      <c r="B525" s="664">
        <v>4</v>
      </c>
      <c r="C525" s="10"/>
      <c r="D525" s="10"/>
      <c r="E525" s="10"/>
      <c r="F525" s="10"/>
      <c r="G525" s="10"/>
      <c r="H525" s="645"/>
    </row>
    <row r="526" spans="1:17" ht="19.5" hidden="1" customHeight="1">
      <c r="A526" s="153"/>
      <c r="B526" s="664">
        <v>5</v>
      </c>
      <c r="C526" s="10"/>
      <c r="D526" s="10"/>
      <c r="E526" s="10"/>
      <c r="F526" s="10"/>
      <c r="G526" s="10"/>
      <c r="H526" s="645"/>
    </row>
    <row r="527" spans="1:17" ht="19.5" hidden="1" customHeight="1">
      <c r="A527" s="153"/>
      <c r="B527" s="664">
        <v>6</v>
      </c>
      <c r="C527" s="10"/>
      <c r="D527" s="10"/>
      <c r="E527" s="10"/>
      <c r="F527" s="10"/>
      <c r="G527" s="10"/>
      <c r="H527" s="645"/>
    </row>
    <row r="528" spans="1:17" ht="19.5" customHeight="1">
      <c r="A528" s="153"/>
      <c r="B528" s="10"/>
      <c r="C528" s="10"/>
      <c r="D528" s="10"/>
      <c r="E528" s="10"/>
      <c r="F528" s="10"/>
      <c r="G528" s="10"/>
      <c r="H528" s="645"/>
    </row>
    <row r="529" spans="1:8" ht="19.5" customHeight="1">
      <c r="A529" s="153"/>
      <c r="B529" s="10"/>
      <c r="C529" s="10"/>
      <c r="D529" s="10"/>
      <c r="E529" s="10"/>
      <c r="F529" s="10"/>
      <c r="G529" s="10"/>
      <c r="H529" s="645"/>
    </row>
    <row r="530" spans="1:8" ht="19.5" customHeight="1">
      <c r="A530" s="153"/>
      <c r="B530" s="10"/>
      <c r="C530" s="10"/>
      <c r="D530" s="10"/>
      <c r="E530" s="10"/>
      <c r="F530" s="10"/>
      <c r="G530" s="10"/>
      <c r="H530" s="645"/>
    </row>
    <row r="531" spans="1:8" ht="19.5" customHeight="1">
      <c r="A531" s="153"/>
      <c r="B531" s="10"/>
      <c r="C531" s="10"/>
      <c r="D531" s="10"/>
      <c r="E531" s="10"/>
      <c r="F531" s="10"/>
      <c r="G531" s="10"/>
      <c r="H531" s="645"/>
    </row>
    <row r="532" spans="1:8" ht="19.5" customHeight="1">
      <c r="A532" s="153"/>
      <c r="B532" s="10"/>
      <c r="C532" s="10"/>
      <c r="D532" s="10"/>
      <c r="E532" s="10"/>
      <c r="F532" s="10"/>
      <c r="G532" s="10"/>
      <c r="H532" s="645"/>
    </row>
    <row r="533" spans="1:8" ht="19.5" customHeight="1">
      <c r="A533" s="153"/>
      <c r="B533" s="10"/>
      <c r="C533" s="10"/>
      <c r="D533" s="10"/>
      <c r="E533" s="10"/>
      <c r="F533" s="10"/>
      <c r="G533" s="10"/>
      <c r="H533" s="645"/>
    </row>
    <row r="534" spans="1:8" ht="19.5" customHeight="1">
      <c r="A534" s="153"/>
      <c r="B534" s="10"/>
      <c r="C534" s="10"/>
      <c r="D534" s="10"/>
      <c r="E534" s="10"/>
      <c r="F534" s="10"/>
      <c r="G534" s="10"/>
      <c r="H534" s="645"/>
    </row>
    <row r="535" spans="1:8" ht="19.5" customHeight="1">
      <c r="A535" s="153"/>
      <c r="B535" s="10"/>
      <c r="C535" s="10"/>
      <c r="D535" s="10"/>
      <c r="E535" s="10"/>
      <c r="F535" s="10"/>
      <c r="G535" s="10"/>
      <c r="H535" s="645"/>
    </row>
    <row r="536" spans="1:8" ht="19.5" customHeight="1">
      <c r="H536" s="162"/>
    </row>
    <row r="537" spans="1:8" ht="19.5" customHeight="1">
      <c r="H537" s="162"/>
    </row>
    <row r="538" spans="1:8" ht="19.5" customHeight="1">
      <c r="H538" s="162"/>
    </row>
    <row r="539" spans="1:8" ht="19.5" customHeight="1">
      <c r="H539" s="162"/>
    </row>
    <row r="540" spans="1:8" ht="19.5" customHeight="1">
      <c r="H540" s="162"/>
    </row>
    <row r="541" spans="1:8" ht="19.5" customHeight="1">
      <c r="H541" s="162"/>
    </row>
    <row r="542" spans="1:8" ht="19.5" customHeight="1">
      <c r="H542" s="162"/>
    </row>
    <row r="543" spans="1:8" ht="19.5" customHeight="1">
      <c r="H543" s="162"/>
    </row>
    <row r="544" spans="1:8" ht="19.5" customHeight="1">
      <c r="H544" s="162"/>
    </row>
    <row r="545" spans="8:8" ht="19.5" customHeight="1">
      <c r="H545" s="162"/>
    </row>
    <row r="546" spans="8:8" ht="19.5" customHeight="1">
      <c r="H546" s="162"/>
    </row>
    <row r="547" spans="8:8" ht="19.5" customHeight="1">
      <c r="H547" s="162"/>
    </row>
    <row r="548" spans="8:8" ht="19.5" customHeight="1">
      <c r="H548" s="162"/>
    </row>
    <row r="549" spans="8:8" ht="19.5" customHeight="1">
      <c r="H549" s="162"/>
    </row>
    <row r="550" spans="8:8" ht="19.5" customHeight="1">
      <c r="H550" s="162"/>
    </row>
    <row r="551" spans="8:8" ht="19.5" customHeight="1">
      <c r="H551" s="164"/>
    </row>
    <row r="552" spans="8:8" ht="19.5" customHeight="1">
      <c r="H552" s="164"/>
    </row>
    <row r="553" spans="8:8" ht="19.5" customHeight="1">
      <c r="H553" s="164"/>
    </row>
    <row r="554" spans="8:8" ht="19.5" customHeight="1">
      <c r="H554" s="164"/>
    </row>
    <row r="555" spans="8:8" ht="19.5" customHeight="1">
      <c r="H555" s="162"/>
    </row>
    <row r="556" spans="8:8" ht="19.5" customHeight="1">
      <c r="H556" s="162"/>
    </row>
    <row r="557" spans="8:8" ht="19.5" customHeight="1">
      <c r="H557" s="162"/>
    </row>
    <row r="558" spans="8:8" ht="19.5" customHeight="1">
      <c r="H558" s="162"/>
    </row>
    <row r="559" spans="8:8" ht="19.5" customHeight="1">
      <c r="H559" s="162"/>
    </row>
    <row r="560" spans="8:8" ht="19.5" customHeight="1">
      <c r="H560" s="162"/>
    </row>
    <row r="561" spans="8:8" ht="19.5" customHeight="1">
      <c r="H561" s="162"/>
    </row>
    <row r="562" spans="8:8" ht="19.5" customHeight="1">
      <c r="H562" s="162"/>
    </row>
    <row r="563" spans="8:8" ht="19.5" customHeight="1">
      <c r="H563" s="162"/>
    </row>
    <row r="564" spans="8:8" ht="19.5" customHeight="1">
      <c r="H564" s="162"/>
    </row>
    <row r="565" spans="8:8" ht="19.5" customHeight="1">
      <c r="H565" s="162"/>
    </row>
    <row r="566" spans="8:8" ht="19.5" customHeight="1">
      <c r="H566" s="162"/>
    </row>
    <row r="567" spans="8:8" ht="19.5" customHeight="1">
      <c r="H567" s="162"/>
    </row>
    <row r="568" spans="8:8" ht="19.5" customHeight="1">
      <c r="H568" s="162"/>
    </row>
    <row r="569" spans="8:8" ht="19.5" customHeight="1">
      <c r="H569" s="162"/>
    </row>
    <row r="570" spans="8:8" ht="19.5" customHeight="1">
      <c r="H570" s="162"/>
    </row>
    <row r="571" spans="8:8" ht="19.5" customHeight="1">
      <c r="H571" s="162"/>
    </row>
    <row r="572" spans="8:8" ht="19.5" customHeight="1">
      <c r="H572" s="162"/>
    </row>
    <row r="573" spans="8:8" ht="19.5" customHeight="1">
      <c r="H573" s="162"/>
    </row>
    <row r="574" spans="8:8" ht="19.5" customHeight="1">
      <c r="H574" s="162"/>
    </row>
    <row r="575" spans="8:8" ht="19.5" customHeight="1">
      <c r="H575" s="162"/>
    </row>
    <row r="576" spans="8:8" ht="19.5" customHeight="1">
      <c r="H576" s="162"/>
    </row>
    <row r="577" spans="8:8" ht="19.5" customHeight="1">
      <c r="H577" s="162"/>
    </row>
    <row r="578" spans="8:8" ht="19.5" customHeight="1">
      <c r="H578" s="162"/>
    </row>
    <row r="579" spans="8:8" ht="19.5" customHeight="1">
      <c r="H579" s="162"/>
    </row>
    <row r="580" spans="8:8" ht="19.5" customHeight="1">
      <c r="H580" s="162"/>
    </row>
    <row r="581" spans="8:8" ht="19.5" customHeight="1">
      <c r="H581" s="162"/>
    </row>
    <row r="582" spans="8:8" ht="19.5" customHeight="1">
      <c r="H582" s="162"/>
    </row>
    <row r="583" spans="8:8" ht="19.5" customHeight="1">
      <c r="H583" s="162"/>
    </row>
    <row r="584" spans="8:8" ht="19.5" customHeight="1">
      <c r="H584" s="162"/>
    </row>
    <row r="585" spans="8:8" ht="19.5" customHeight="1">
      <c r="H585" s="162"/>
    </row>
    <row r="586" spans="8:8" ht="19.5" customHeight="1">
      <c r="H586" s="162"/>
    </row>
    <row r="587" spans="8:8" ht="19.5" customHeight="1">
      <c r="H587" s="162"/>
    </row>
    <row r="588" spans="8:8" ht="19.5" customHeight="1">
      <c r="H588" s="162"/>
    </row>
    <row r="589" spans="8:8" ht="19.5" customHeight="1">
      <c r="H589" s="162"/>
    </row>
    <row r="590" spans="8:8" ht="19.5" customHeight="1">
      <c r="H590" s="162"/>
    </row>
    <row r="591" spans="8:8" ht="19.5" customHeight="1">
      <c r="H591" s="162"/>
    </row>
    <row r="592" spans="8:8" ht="19.5" customHeight="1">
      <c r="H592" s="162"/>
    </row>
    <row r="593" spans="8:8" ht="19.5" customHeight="1">
      <c r="H593" s="162"/>
    </row>
    <row r="594" spans="8:8" ht="19.5" customHeight="1">
      <c r="H594" s="162"/>
    </row>
    <row r="595" spans="8:8" ht="19.5" customHeight="1">
      <c r="H595" s="162"/>
    </row>
    <row r="596" spans="8:8" ht="19.5" customHeight="1">
      <c r="H596" s="162"/>
    </row>
    <row r="597" spans="8:8" ht="19.5" customHeight="1">
      <c r="H597" s="162"/>
    </row>
    <row r="598" spans="8:8" ht="19.5" customHeight="1">
      <c r="H598" s="162"/>
    </row>
    <row r="599" spans="8:8" ht="19.5" customHeight="1">
      <c r="H599" s="162"/>
    </row>
    <row r="600" spans="8:8" ht="19.5" customHeight="1">
      <c r="H600" s="162"/>
    </row>
    <row r="601" spans="8:8" ht="19.5" customHeight="1">
      <c r="H601" s="162"/>
    </row>
    <row r="602" spans="8:8" ht="19.5" customHeight="1">
      <c r="H602" s="162"/>
    </row>
    <row r="603" spans="8:8" ht="19.5" customHeight="1">
      <c r="H603" s="162"/>
    </row>
    <row r="604" spans="8:8" ht="19.5" customHeight="1">
      <c r="H604" s="162"/>
    </row>
    <row r="605" spans="8:8" ht="19.5" customHeight="1">
      <c r="H605" s="162"/>
    </row>
    <row r="606" spans="8:8" ht="19.5" customHeight="1">
      <c r="H606" s="162"/>
    </row>
  </sheetData>
  <sheetProtection algorithmName="SHA-512" hashValue="SsOcENDZtK/3JuFU2Fd12VAEyJ8Leo+iCNelSIadIsRK0Pxt9ocWvwl2ZTS03/Reke8MFz9UahZ5rzxeq5iUHw==" saltValue="iPZ2qJxmmvrxjwr9eIHjqQ==" spinCount="100000" sheet="1" objects="1" scenarios="1" selectLockedCells="1"/>
  <mergeCells count="199">
    <mergeCell ref="H262:H265"/>
    <mergeCell ref="C291:F291"/>
    <mergeCell ref="B232:D232"/>
    <mergeCell ref="H107:K107"/>
    <mergeCell ref="H231:I231"/>
    <mergeCell ref="B92:G92"/>
    <mergeCell ref="B238:G238"/>
    <mergeCell ref="B251:G251"/>
    <mergeCell ref="B242:G242"/>
    <mergeCell ref="B240:G240"/>
    <mergeCell ref="F144:G144"/>
    <mergeCell ref="C222:E222"/>
    <mergeCell ref="B168:C168"/>
    <mergeCell ref="D201:G201"/>
    <mergeCell ref="B214:G214"/>
    <mergeCell ref="D146:E146"/>
    <mergeCell ref="C220:G220"/>
    <mergeCell ref="B213:G213"/>
    <mergeCell ref="C218:G218"/>
    <mergeCell ref="B226:G226"/>
    <mergeCell ref="C221:G221"/>
    <mergeCell ref="C223:E223"/>
    <mergeCell ref="C216:G216"/>
    <mergeCell ref="C224:E224"/>
    <mergeCell ref="C247:E247"/>
    <mergeCell ref="B256:G257"/>
    <mergeCell ref="B267:G267"/>
    <mergeCell ref="B269:G269"/>
    <mergeCell ref="B268:G268"/>
    <mergeCell ref="B262:G262"/>
    <mergeCell ref="F284:G286"/>
    <mergeCell ref="B277:G277"/>
    <mergeCell ref="B266:G266"/>
    <mergeCell ref="B272:G272"/>
    <mergeCell ref="B275:G275"/>
    <mergeCell ref="B261:G261"/>
    <mergeCell ref="B250:G250"/>
    <mergeCell ref="C303:D303"/>
    <mergeCell ref="B145:G145"/>
    <mergeCell ref="C225:G225"/>
    <mergeCell ref="B201:C202"/>
    <mergeCell ref="B282:G282"/>
    <mergeCell ref="B254:G254"/>
    <mergeCell ref="B281:G281"/>
    <mergeCell ref="B279:G279"/>
    <mergeCell ref="B271:G271"/>
    <mergeCell ref="B273:G273"/>
    <mergeCell ref="B276:G276"/>
    <mergeCell ref="B260:G260"/>
    <mergeCell ref="B187:D188"/>
    <mergeCell ref="D202:G202"/>
    <mergeCell ref="C235:D235"/>
    <mergeCell ref="C230:D230"/>
    <mergeCell ref="B156:D156"/>
    <mergeCell ref="B161:G161"/>
    <mergeCell ref="B259:G259"/>
    <mergeCell ref="B253:F253"/>
    <mergeCell ref="B278:G278"/>
    <mergeCell ref="B297:G297"/>
    <mergeCell ref="B274:G274"/>
    <mergeCell ref="B264:G264"/>
    <mergeCell ref="C3:F3"/>
    <mergeCell ref="C2:G2"/>
    <mergeCell ref="B8:G8"/>
    <mergeCell ref="F55:G55"/>
    <mergeCell ref="F56:G56"/>
    <mergeCell ref="B62:G63"/>
    <mergeCell ref="F43:G43"/>
    <mergeCell ref="B22:G22"/>
    <mergeCell ref="B23:E23"/>
    <mergeCell ref="B24:G24"/>
    <mergeCell ref="C32:F32"/>
    <mergeCell ref="B29:G30"/>
    <mergeCell ref="F57:G57"/>
    <mergeCell ref="F129:G129"/>
    <mergeCell ref="B123:C123"/>
    <mergeCell ref="C94:G94"/>
    <mergeCell ref="B96:G96"/>
    <mergeCell ref="B95:H95"/>
    <mergeCell ref="B107:C107"/>
    <mergeCell ref="G122:H122"/>
    <mergeCell ref="B7:G7"/>
    <mergeCell ref="B6:G6"/>
    <mergeCell ref="C78:E78"/>
    <mergeCell ref="C79:E79"/>
    <mergeCell ref="C80:E80"/>
    <mergeCell ref="C81:E81"/>
    <mergeCell ref="B26:F27"/>
    <mergeCell ref="F33:H33"/>
    <mergeCell ref="B56:B57"/>
    <mergeCell ref="G66:H66"/>
    <mergeCell ref="G67:H67"/>
    <mergeCell ref="B39:G39"/>
    <mergeCell ref="F45:G45"/>
    <mergeCell ref="F42:G42"/>
    <mergeCell ref="B75:G75"/>
    <mergeCell ref="C294:E294"/>
    <mergeCell ref="C288:F288"/>
    <mergeCell ref="C289:F289"/>
    <mergeCell ref="C290:F290"/>
    <mergeCell ref="B280:G280"/>
    <mergeCell ref="B270:G270"/>
    <mergeCell ref="B265:G265"/>
    <mergeCell ref="B263:G263"/>
    <mergeCell ref="B252:F252"/>
    <mergeCell ref="B255:G255"/>
    <mergeCell ref="C292:F292"/>
    <mergeCell ref="B153:G155"/>
    <mergeCell ref="C219:G219"/>
    <mergeCell ref="C231:D231"/>
    <mergeCell ref="B227:G227"/>
    <mergeCell ref="B165:D165"/>
    <mergeCell ref="B166:E167"/>
    <mergeCell ref="B172:D173"/>
    <mergeCell ref="E187:G188"/>
    <mergeCell ref="C85:D85"/>
    <mergeCell ref="B93:G93"/>
    <mergeCell ref="B170:C170"/>
    <mergeCell ref="E108:F108"/>
    <mergeCell ref="B196:G197"/>
    <mergeCell ref="C215:G215"/>
    <mergeCell ref="B133:E133"/>
    <mergeCell ref="F208:G208"/>
    <mergeCell ref="B142:C142"/>
    <mergeCell ref="B140:G141"/>
    <mergeCell ref="B175:G175"/>
    <mergeCell ref="B152:G152"/>
    <mergeCell ref="G123:H123"/>
    <mergeCell ref="C138:G138"/>
    <mergeCell ref="E84:F86"/>
    <mergeCell ref="B122:C122"/>
    <mergeCell ref="J1:K1"/>
    <mergeCell ref="F41:G41"/>
    <mergeCell ref="C36:G36"/>
    <mergeCell ref="B18:G18"/>
    <mergeCell ref="B31:G31"/>
    <mergeCell ref="B40:G40"/>
    <mergeCell ref="C33:E33"/>
    <mergeCell ref="C12:G12"/>
    <mergeCell ref="B1:F1"/>
    <mergeCell ref="C13:D13"/>
    <mergeCell ref="J10:O10"/>
    <mergeCell ref="C34:E34"/>
    <mergeCell ref="J12:O13"/>
    <mergeCell ref="B25:E25"/>
    <mergeCell ref="J27:O28"/>
    <mergeCell ref="J31:O31"/>
    <mergeCell ref="J29:O30"/>
    <mergeCell ref="E13:G13"/>
    <mergeCell ref="H22:K22"/>
    <mergeCell ref="B10:G10"/>
    <mergeCell ref="B17:G17"/>
    <mergeCell ref="J15:O17"/>
    <mergeCell ref="J18:O19"/>
    <mergeCell ref="B4:G4"/>
    <mergeCell ref="A31:A37"/>
    <mergeCell ref="B19:G19"/>
    <mergeCell ref="B21:G21"/>
    <mergeCell ref="B118:E118"/>
    <mergeCell ref="B205:G207"/>
    <mergeCell ref="D194:E194"/>
    <mergeCell ref="E107:F107"/>
    <mergeCell ref="C147:G147"/>
    <mergeCell ref="F54:G54"/>
    <mergeCell ref="E49:G49"/>
    <mergeCell ref="B76:G77"/>
    <mergeCell ref="C70:G70"/>
    <mergeCell ref="C41:E41"/>
    <mergeCell ref="C35:G35"/>
    <mergeCell ref="B58:C58"/>
    <mergeCell ref="F47:G47"/>
    <mergeCell ref="F58:G58"/>
    <mergeCell ref="F50:G50"/>
    <mergeCell ref="F46:G46"/>
    <mergeCell ref="F44:G44"/>
    <mergeCell ref="B125:C125"/>
    <mergeCell ref="F118:G118"/>
    <mergeCell ref="B135:D135"/>
    <mergeCell ref="B83:G83"/>
    <mergeCell ref="A233:A236"/>
    <mergeCell ref="E235:F235"/>
    <mergeCell ref="F192:G192"/>
    <mergeCell ref="D193:F193"/>
    <mergeCell ref="B157:G159"/>
    <mergeCell ref="C217:G217"/>
    <mergeCell ref="B185:F186"/>
    <mergeCell ref="F209:G209"/>
    <mergeCell ref="E232:G232"/>
    <mergeCell ref="B191:G191"/>
    <mergeCell ref="B178:G178"/>
    <mergeCell ref="B204:G204"/>
    <mergeCell ref="B162:G162"/>
    <mergeCell ref="B199:G199"/>
    <mergeCell ref="B174:C174"/>
    <mergeCell ref="F174:G174"/>
    <mergeCell ref="B233:G233"/>
    <mergeCell ref="B211:G211"/>
    <mergeCell ref="B208:D208"/>
    <mergeCell ref="C234:G234"/>
  </mergeCells>
  <phoneticPr fontId="19" type="noConversion"/>
  <conditionalFormatting sqref="C247:E247">
    <cfRule type="expression" dxfId="0" priority="1">
      <formula>C349=2</formula>
    </cfRule>
  </conditionalFormatting>
  <dataValidations xWindow="652" yWindow="557" count="22">
    <dataValidation type="decimal" errorStyle="warning" operator="lessThanOrEqual" allowBlank="1" showErrorMessage="1" errorTitle="h &gt; x" error="h not usually greater than x ?  check data" sqref="D46" xr:uid="{00000000-0002-0000-0000-000000000000}">
      <formula1>D45</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5" xr:uid="{00000000-0002-0000-0000-000001000000}">
      <formula1>D44</formula1>
    </dataValidation>
    <dataValidation type="decimal" operator="greaterThanOrEqual" allowBlank="1" showErrorMessage="1" errorTitle="LLmax" error="Cannot be shorter than LL !" sqref="D97" xr:uid="{00000000-0002-0000-0000-000002000000}">
      <formula1>D98</formula1>
    </dataValidation>
    <dataValidation type="list" allowBlank="1" showInputMessage="1" showErrorMessage="1" sqref="B25:C25" xr:uid="{00000000-0002-0000-0000-000003000000}">
      <formula1>INDIRECT(B23)</formula1>
    </dataValidation>
    <dataValidation type="list" allowBlank="1" showInputMessage="1" showErrorMessage="1" sqref="D25:E25" xr:uid="{00000000-0002-0000-0000-000004000000}">
      <formula1>INDIRECT(B25)</formula1>
    </dataValidation>
    <dataValidation operator="greaterThan" allowBlank="1" showInputMessage="1" promptTitle="Select from list" prompt="Select from list before proceeding" sqref="C305" xr:uid="{00000000-0002-0000-0000-000005000000}"/>
    <dataValidation type="whole" operator="greaterThanOrEqual" allowBlank="1" showErrorMessage="1" errorTitle="whole number only" sqref="C230"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23" xr:uid="{00000000-0002-0000-0000-000007000000}"/>
    <dataValidation type="decimal" operator="greaterThanOrEqual" allowBlank="1" showErrorMessage="1" errorTitle="Invalid input" error="Input number in metres only, with no text" sqref="D180:D183 D119 F111 D98:D101 D87:D91 F115 D104:D106 D109:D117 D47 D58:D60 D44 D54:D55" xr:uid="{00000000-0002-0000-0000-000008000000}">
      <formula1>0</formula1>
    </dataValidation>
    <dataValidation type="whole" operator="greaterThanOrEqual" allowBlank="1" showErrorMessage="1" errorTitle="input whole number only" error="if not applicable leave blank_x000a_" sqref="D169:D171 G171" xr:uid="{00000000-0002-0000-0000-000009000000}">
      <formula1>1</formula1>
    </dataValidation>
    <dataValidation type="decimal" operator="greaterThanOrEqual" allowBlank="1" showErrorMessage="1" errorTitle="input number only" error="if not applicable leave blank" sqref="E172:E174" xr:uid="{00000000-0002-0000-0000-00000A000000}">
      <formula1>1</formula1>
    </dataValidation>
    <dataValidation type="whole" operator="greaterThanOrEqual" allowBlank="1" showErrorMessage="1" errorTitle="input number only" sqref="F146 D107:D108" xr:uid="{00000000-0002-0000-0000-00000B000000}">
      <formula1>0</formula1>
    </dataValidation>
    <dataValidation type="whole" operator="greaterThanOrEqual" allowBlank="1" showErrorMessage="1" errorTitle="input number or 0 only" sqref="D130:D132" xr:uid="{00000000-0002-0000-0000-00000C000000}">
      <formula1>0</formula1>
    </dataValidation>
    <dataValidation type="decimal" operator="greaterThanOrEqual" allowBlank="1" showInputMessage="1" showErrorMessage="1" sqref="D102:D103" xr:uid="{00000000-0002-0000-0000-00000D000000}">
      <formula1>0</formula1>
    </dataValidation>
    <dataValidation type="whole" operator="greaterThanOrEqual" allowBlank="1" showErrorMessage="1" errorTitle="Whole number in KG required" sqref="D50:D51" xr:uid="{00000000-0002-0000-0000-00000E000000}">
      <formula1>0</formula1>
    </dataValidation>
    <dataValidation type="whole" operator="greaterThanOrEqual" allowBlank="1" showErrorMessage="1" errorTitle="input whole number only" promptTitle="Bulb weight" prompt="Will accept number only" sqref="D52" xr:uid="{00000000-0002-0000-0000-00000F000000}">
      <formula1>0</formula1>
    </dataValidation>
    <dataValidation type="decimal" operator="greaterThanOrEqual" allowBlank="1" showInputMessage="1" showErrorMessage="1" errorTitle="input number only" sqref="D56 F57"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3" xr:uid="{00000000-0002-0000-0000-000011000000}">
      <formula1>0</formula1>
    </dataValidation>
    <dataValidation allowBlank="1" showErrorMessage="1" sqref="D49" xr:uid="{00000000-0002-0000-0000-000012000000}"/>
    <dataValidation type="whole" operator="greaterThanOrEqual" allowBlank="1" showErrorMessage="1" errorTitle="Input whole year" error="YYYY format required" sqref="C37" xr:uid="{00000000-0002-0000-0000-000013000000}">
      <formula1>1000</formula1>
    </dataValidation>
    <dataValidation type="list" allowBlank="1" showInputMessage="1" showErrorMessage="1" sqref="F25" xr:uid="{00000000-0002-0000-0000-000014000000}">
      <formula1>INDIRECT(#REF!)</formula1>
    </dataValidation>
    <dataValidation type="list" allowBlank="1" showInputMessage="1" showErrorMessage="1" sqref="B23" xr:uid="{00000000-0002-0000-0000-000015000000}">
      <formula1>Design1</formula1>
    </dataValidation>
  </dataValidations>
  <hyperlinks>
    <hyperlink ref="B8:G8" r:id="rId1" display="http://ircrating.org/" xr:uid="{00000000-0004-0000-0000-000000000000}"/>
    <hyperlink ref="B8" r:id="rId2" xr:uid="{00000000-0004-0000-0000-000001000000}"/>
    <hyperlink ref="H85" r:id="rId3" display="Measurement drawings link" xr:uid="{00000000-0004-0000-0000-000002000000}"/>
    <hyperlink ref="H43" r:id="rId4" display="Measurement drawings link" xr:uid="{00000000-0004-0000-0000-000003000000}"/>
    <hyperlink ref="H96" r:id="rId5" display="http://www.ircrating.org/technical-a-certification/measurement/14-technical/measurement/352-simple-sail-measurement-guides" xr:uid="{00000000-0004-0000-0000-000004000000}"/>
    <hyperlink ref="H8" r:id="rId6" display="http://www.ircrating.org/technical-a-certification/rule-a-definitions" xr:uid="{00000000-0004-0000-0000-000005000000}"/>
    <hyperlink ref="H7" r:id="rId7" display="http://www.ircrating.org/technical-a-certification/rule-a-definitions" xr:uid="{00000000-0004-0000-0000-000006000000}"/>
    <hyperlink ref="E132" r:id="rId8" display="https://www.ircrating.org/images/stories/pdf/measurement/aft-rigging-drawings-web.pdf" xr:uid="{00000000-0004-0000-0000-000007000000}"/>
    <hyperlink ref="B19" r:id="rId9" display="One Designs may use simplified form" xr:uid="{00000000-0004-0000-0000-000008000000}"/>
    <hyperlink ref="E232:G232" r:id="rId10" display="http://www.ircrating.org/" xr:uid="{00000000-0004-0000-0000-000009000000}"/>
    <hyperlink ref="F174:G174" r:id="rId11" display="new 2018 - see Rule Changes" xr:uid="{00000000-0004-0000-0000-00000A000000}"/>
    <hyperlink ref="H231:I231" r:id="rId12" display="http://www.ussailing.org/membership/" xr:uid="{FAED9BCB-CA94-4011-AAFA-8627EA37DC80}"/>
  </hyperlinks>
  <pageMargins left="0.74803149606299213" right="0.74803149606299213" top="0.55118110236220474" bottom="0.55118110236220474" header="0.31496062992125984" footer="0.47244094488188981"/>
  <pageSetup paperSize="9" scale="41" fitToHeight="9" orientation="portrait" horizontalDpi="300" verticalDpi="300" r:id="rId13"/>
  <headerFooter alignWithMargins="0">
    <oddHeader>&amp;L&amp;"Arial,Bold"IRC application&amp;C&amp;D&amp;R&amp;F</oddHeader>
  </headerFooter>
  <cellWatches>
    <cellWatch r="E356"/>
  </cellWatches>
  <ignoredErrors>
    <ignoredError sqref="C32 G48 F50 G51 G54:G56 F54 F56 F58 F44:F47 G44:G47" unlockedFormula="1"/>
    <ignoredError sqref="F55" formula="1" unlockedFormula="1"/>
    <ignoredError sqref="F116" formula="1"/>
  </ignoredErrors>
  <drawing r:id="rId14"/>
  <legacyDrawing r:id="rId15"/>
  <mc:AlternateContent xmlns:mc="http://schemas.openxmlformats.org/markup-compatibility/2006">
    <mc:Choice Requires="x14">
      <controls>
        <mc:AlternateContent xmlns:mc="http://schemas.openxmlformats.org/markup-compatibility/2006">
          <mc:Choice Requires="x14">
            <control shapeId="1030" r:id="rId16" name="Drop Down 6">
              <controlPr locked="0" defaultSize="0" autoLine="0" autoPict="0">
                <anchor moveWithCells="1">
                  <from>
                    <xdr:col>1</xdr:col>
                    <xdr:colOff>1704975</xdr:colOff>
                    <xdr:row>126</xdr:row>
                    <xdr:rowOff>19050</xdr:rowOff>
                  </from>
                  <to>
                    <xdr:col>4</xdr:col>
                    <xdr:colOff>57150</xdr:colOff>
                    <xdr:row>127</xdr:row>
                    <xdr:rowOff>9525</xdr:rowOff>
                  </to>
                </anchor>
              </controlPr>
            </control>
          </mc:Choice>
        </mc:AlternateContent>
        <mc:AlternateContent xmlns:mc="http://schemas.openxmlformats.org/markup-compatibility/2006">
          <mc:Choice Requires="x14">
            <control shapeId="1189" r:id="rId17" name="Drop Down 165">
              <controlPr locked="0" defaultSize="0" autoLine="0" autoPict="0">
                <anchor moveWithCells="1">
                  <from>
                    <xdr:col>2</xdr:col>
                    <xdr:colOff>0</xdr:colOff>
                    <xdr:row>223</xdr:row>
                    <xdr:rowOff>9525</xdr:rowOff>
                  </from>
                  <to>
                    <xdr:col>4</xdr:col>
                    <xdr:colOff>590550</xdr:colOff>
                    <xdr:row>223</xdr:row>
                    <xdr:rowOff>209550</xdr:rowOff>
                  </to>
                </anchor>
              </controlPr>
            </control>
          </mc:Choice>
        </mc:AlternateContent>
        <mc:AlternateContent xmlns:mc="http://schemas.openxmlformats.org/markup-compatibility/2006">
          <mc:Choice Requires="x14">
            <control shapeId="1031" r:id="rId18" name="Drop Down 7">
              <controlPr locked="0" defaultSize="0" autoLine="0" autoPict="0">
                <anchor moveWithCells="1">
                  <from>
                    <xdr:col>4</xdr:col>
                    <xdr:colOff>295275</xdr:colOff>
                    <xdr:row>117</xdr:row>
                    <xdr:rowOff>19050</xdr:rowOff>
                  </from>
                  <to>
                    <xdr:col>7</xdr:col>
                    <xdr:colOff>47625</xdr:colOff>
                    <xdr:row>118</xdr:row>
                    <xdr:rowOff>47625</xdr:rowOff>
                  </to>
                </anchor>
              </controlPr>
            </control>
          </mc:Choice>
        </mc:AlternateContent>
        <mc:AlternateContent xmlns:mc="http://schemas.openxmlformats.org/markup-compatibility/2006">
          <mc:Choice Requires="x14">
            <control shapeId="1032" r:id="rId19" name="Drop Down 8">
              <controlPr locked="0" defaultSize="0" autoLine="0" autoPict="0">
                <anchor moveWithCells="1">
                  <from>
                    <xdr:col>1</xdr:col>
                    <xdr:colOff>1704975</xdr:colOff>
                    <xdr:row>128</xdr:row>
                    <xdr:rowOff>9525</xdr:rowOff>
                  </from>
                  <to>
                    <xdr:col>4</xdr:col>
                    <xdr:colOff>0</xdr:colOff>
                    <xdr:row>129</xdr:row>
                    <xdr:rowOff>0</xdr:rowOff>
                  </to>
                </anchor>
              </controlPr>
            </control>
          </mc:Choice>
        </mc:AlternateContent>
        <mc:AlternateContent xmlns:mc="http://schemas.openxmlformats.org/markup-compatibility/2006">
          <mc:Choice Requires="x14">
            <control shapeId="1033" r:id="rId20" name="Drop Down 9">
              <controlPr locked="0" defaultSize="0" autoLine="0" autoPict="0">
                <anchor moveWithCells="1">
                  <from>
                    <xdr:col>3</xdr:col>
                    <xdr:colOff>0</xdr:colOff>
                    <xdr:row>132</xdr:row>
                    <xdr:rowOff>0</xdr:rowOff>
                  </from>
                  <to>
                    <xdr:col>5</xdr:col>
                    <xdr:colOff>57150</xdr:colOff>
                    <xdr:row>132</xdr:row>
                    <xdr:rowOff>209550</xdr:rowOff>
                  </to>
                </anchor>
              </controlPr>
            </control>
          </mc:Choice>
        </mc:AlternateContent>
        <mc:AlternateContent xmlns:mc="http://schemas.openxmlformats.org/markup-compatibility/2006">
          <mc:Choice Requires="x14">
            <control shapeId="1034" r:id="rId21" name="Drop Down 10">
              <controlPr locked="0" defaultSize="0" autoLine="0" autoPict="0">
                <anchor moveWithCells="1">
                  <from>
                    <xdr:col>1</xdr:col>
                    <xdr:colOff>857250</xdr:colOff>
                    <xdr:row>145</xdr:row>
                    <xdr:rowOff>19050</xdr:rowOff>
                  </from>
                  <to>
                    <xdr:col>2</xdr:col>
                    <xdr:colOff>600075</xdr:colOff>
                    <xdr:row>145</xdr:row>
                    <xdr:rowOff>219075</xdr:rowOff>
                  </to>
                </anchor>
              </controlPr>
            </control>
          </mc:Choice>
        </mc:AlternateContent>
        <mc:AlternateContent xmlns:mc="http://schemas.openxmlformats.org/markup-compatibility/2006">
          <mc:Choice Requires="x14">
            <control shapeId="1035" r:id="rId22" name="Drop Down 11">
              <controlPr locked="0" defaultSize="0" autoLine="0" autoPict="0">
                <anchor moveWithCells="1">
                  <from>
                    <xdr:col>1</xdr:col>
                    <xdr:colOff>866775</xdr:colOff>
                    <xdr:row>147</xdr:row>
                    <xdr:rowOff>38100</xdr:rowOff>
                  </from>
                  <to>
                    <xdr:col>4</xdr:col>
                    <xdr:colOff>381000</xdr:colOff>
                    <xdr:row>147</xdr:row>
                    <xdr:rowOff>238125</xdr:rowOff>
                  </to>
                </anchor>
              </controlPr>
            </control>
          </mc:Choice>
        </mc:AlternateContent>
        <mc:AlternateContent xmlns:mc="http://schemas.openxmlformats.org/markup-compatibility/2006">
          <mc:Choice Requires="x14">
            <control shapeId="1036" r:id="rId23" name="Drop Down 12">
              <controlPr locked="0" defaultSize="0" autoLine="0" autoPict="0">
                <anchor moveWithCells="1">
                  <from>
                    <xdr:col>4</xdr:col>
                    <xdr:colOff>161925</xdr:colOff>
                    <xdr:row>126</xdr:row>
                    <xdr:rowOff>19050</xdr:rowOff>
                  </from>
                  <to>
                    <xdr:col>6</xdr:col>
                    <xdr:colOff>200025</xdr:colOff>
                    <xdr:row>127</xdr:row>
                    <xdr:rowOff>9525</xdr:rowOff>
                  </to>
                </anchor>
              </controlPr>
            </control>
          </mc:Choice>
        </mc:AlternateContent>
        <mc:AlternateContent xmlns:mc="http://schemas.openxmlformats.org/markup-compatibility/2006">
          <mc:Choice Requires="x14">
            <control shapeId="1037" r:id="rId24" name="Drop Down 13">
              <controlPr locked="0" defaultSize="0" autoLine="0" autoPict="0">
                <anchor moveWithCells="1">
                  <from>
                    <xdr:col>6</xdr:col>
                    <xdr:colOff>314325</xdr:colOff>
                    <xdr:row>126</xdr:row>
                    <xdr:rowOff>19050</xdr:rowOff>
                  </from>
                  <to>
                    <xdr:col>7</xdr:col>
                    <xdr:colOff>66675</xdr:colOff>
                    <xdr:row>127</xdr:row>
                    <xdr:rowOff>9525</xdr:rowOff>
                  </to>
                </anchor>
              </controlPr>
            </control>
          </mc:Choice>
        </mc:AlternateContent>
        <mc:AlternateContent xmlns:mc="http://schemas.openxmlformats.org/markup-compatibility/2006">
          <mc:Choice Requires="x14">
            <control shapeId="1038" r:id="rId25" name="Check Box 14">
              <controlPr locked="0" defaultSize="0" autoFill="0" autoLine="0" autoPict="0">
                <anchor moveWithCells="1">
                  <from>
                    <xdr:col>3</xdr:col>
                    <xdr:colOff>504825</xdr:colOff>
                    <xdr:row>206</xdr:row>
                    <xdr:rowOff>238125</xdr:rowOff>
                  </from>
                  <to>
                    <xdr:col>4</xdr:col>
                    <xdr:colOff>219075</xdr:colOff>
                    <xdr:row>208</xdr:row>
                    <xdr:rowOff>47625</xdr:rowOff>
                  </to>
                </anchor>
              </controlPr>
            </control>
          </mc:Choice>
        </mc:AlternateContent>
        <mc:AlternateContent xmlns:mc="http://schemas.openxmlformats.org/markup-compatibility/2006">
          <mc:Choice Requires="x14">
            <control shapeId="1079" r:id="rId26" name="Drop Down 55">
              <controlPr locked="0" defaultSize="0" autoLine="0" autoPict="0">
                <anchor moveWithCells="1">
                  <from>
                    <xdr:col>2</xdr:col>
                    <xdr:colOff>0</xdr:colOff>
                    <xdr:row>63</xdr:row>
                    <xdr:rowOff>0</xdr:rowOff>
                  </from>
                  <to>
                    <xdr:col>7</xdr:col>
                    <xdr:colOff>95250</xdr:colOff>
                    <xdr:row>64</xdr:row>
                    <xdr:rowOff>0</xdr:rowOff>
                  </to>
                </anchor>
              </controlPr>
            </control>
          </mc:Choice>
        </mc:AlternateContent>
        <mc:AlternateContent xmlns:mc="http://schemas.openxmlformats.org/markup-compatibility/2006">
          <mc:Choice Requires="x14">
            <control shapeId="1080" r:id="rId27" name="Drop Down 56">
              <controlPr locked="0" defaultSize="0" autoLine="0" autoPict="0">
                <anchor moveWithCells="1">
                  <from>
                    <xdr:col>1</xdr:col>
                    <xdr:colOff>1752600</xdr:colOff>
                    <xdr:row>65</xdr:row>
                    <xdr:rowOff>0</xdr:rowOff>
                  </from>
                  <to>
                    <xdr:col>6</xdr:col>
                    <xdr:colOff>171450</xdr:colOff>
                    <xdr:row>66</xdr:row>
                    <xdr:rowOff>0</xdr:rowOff>
                  </to>
                </anchor>
              </controlPr>
            </control>
          </mc:Choice>
        </mc:AlternateContent>
        <mc:AlternateContent xmlns:mc="http://schemas.openxmlformats.org/markup-compatibility/2006">
          <mc:Choice Requires="x14">
            <control shapeId="1081" r:id="rId28" name="Drop Down 57">
              <controlPr locked="0" defaultSize="0" autoLine="0" autoPict="0">
                <anchor moveWithCells="1">
                  <from>
                    <xdr:col>2</xdr:col>
                    <xdr:colOff>0</xdr:colOff>
                    <xdr:row>70</xdr:row>
                    <xdr:rowOff>0</xdr:rowOff>
                  </from>
                  <to>
                    <xdr:col>4</xdr:col>
                    <xdr:colOff>523875</xdr:colOff>
                    <xdr:row>71</xdr:row>
                    <xdr:rowOff>0</xdr:rowOff>
                  </to>
                </anchor>
              </controlPr>
            </control>
          </mc:Choice>
        </mc:AlternateContent>
        <mc:AlternateContent xmlns:mc="http://schemas.openxmlformats.org/markup-compatibility/2006">
          <mc:Choice Requires="x14">
            <control shapeId="1082" r:id="rId29" name="Drop Down 58">
              <controlPr locked="0" defaultSize="0" autoLine="0" autoPict="0">
                <anchor moveWithCells="1">
                  <from>
                    <xdr:col>2</xdr:col>
                    <xdr:colOff>0</xdr:colOff>
                    <xdr:row>71</xdr:row>
                    <xdr:rowOff>0</xdr:rowOff>
                  </from>
                  <to>
                    <xdr:col>4</xdr:col>
                    <xdr:colOff>523875</xdr:colOff>
                    <xdr:row>72</xdr:row>
                    <xdr:rowOff>0</xdr:rowOff>
                  </to>
                </anchor>
              </controlPr>
            </control>
          </mc:Choice>
        </mc:AlternateContent>
        <mc:AlternateContent xmlns:mc="http://schemas.openxmlformats.org/markup-compatibility/2006">
          <mc:Choice Requires="x14">
            <control shapeId="1083" r:id="rId30" name="Drop Down 59">
              <controlPr locked="0" defaultSize="0" autoLine="0" autoPict="0">
                <anchor moveWithCells="1">
                  <from>
                    <xdr:col>2</xdr:col>
                    <xdr:colOff>0</xdr:colOff>
                    <xdr:row>72</xdr:row>
                    <xdr:rowOff>0</xdr:rowOff>
                  </from>
                  <to>
                    <xdr:col>6</xdr:col>
                    <xdr:colOff>28575</xdr:colOff>
                    <xdr:row>73</xdr:row>
                    <xdr:rowOff>0</xdr:rowOff>
                  </to>
                </anchor>
              </controlPr>
            </control>
          </mc:Choice>
        </mc:AlternateContent>
        <mc:AlternateContent xmlns:mc="http://schemas.openxmlformats.org/markup-compatibility/2006">
          <mc:Choice Requires="x14">
            <control shapeId="1086" r:id="rId31" name="Drop Down 62">
              <controlPr locked="0" defaultSize="0" autoLine="0" autoPict="0">
                <anchor moveWithCells="1">
                  <from>
                    <xdr:col>2</xdr:col>
                    <xdr:colOff>0</xdr:colOff>
                    <xdr:row>67</xdr:row>
                    <xdr:rowOff>0</xdr:rowOff>
                  </from>
                  <to>
                    <xdr:col>5</xdr:col>
                    <xdr:colOff>142875</xdr:colOff>
                    <xdr:row>68</xdr:row>
                    <xdr:rowOff>0</xdr:rowOff>
                  </to>
                </anchor>
              </controlPr>
            </control>
          </mc:Choice>
        </mc:AlternateContent>
        <mc:AlternateContent xmlns:mc="http://schemas.openxmlformats.org/markup-compatibility/2006">
          <mc:Choice Requires="x14">
            <control shapeId="1087" r:id="rId32" name="Drop Down 63">
              <controlPr locked="0" defaultSize="0" autoLine="0" autoPict="0">
                <anchor moveWithCells="1">
                  <from>
                    <xdr:col>2</xdr:col>
                    <xdr:colOff>0</xdr:colOff>
                    <xdr:row>68</xdr:row>
                    <xdr:rowOff>0</xdr:rowOff>
                  </from>
                  <to>
                    <xdr:col>5</xdr:col>
                    <xdr:colOff>133350</xdr:colOff>
                    <xdr:row>69</xdr:row>
                    <xdr:rowOff>0</xdr:rowOff>
                  </to>
                </anchor>
              </controlPr>
            </control>
          </mc:Choice>
        </mc:AlternateContent>
        <mc:AlternateContent xmlns:mc="http://schemas.openxmlformats.org/markup-compatibility/2006">
          <mc:Choice Requires="x14">
            <control shapeId="1092" r:id="rId33" name="Drop Down 68">
              <controlPr locked="0" defaultSize="0" autoLine="0" autoPict="0">
                <anchor moveWithCells="1">
                  <from>
                    <xdr:col>1</xdr:col>
                    <xdr:colOff>1752600</xdr:colOff>
                    <xdr:row>66</xdr:row>
                    <xdr:rowOff>0</xdr:rowOff>
                  </from>
                  <to>
                    <xdr:col>6</xdr:col>
                    <xdr:colOff>171450</xdr:colOff>
                    <xdr:row>67</xdr:row>
                    <xdr:rowOff>0</xdr:rowOff>
                  </to>
                </anchor>
              </controlPr>
            </control>
          </mc:Choice>
        </mc:AlternateContent>
        <mc:AlternateContent xmlns:mc="http://schemas.openxmlformats.org/markup-compatibility/2006">
          <mc:Choice Requires="x14">
            <control shapeId="1134" r:id="rId34" name="Drop Down 110">
              <controlPr locked="0" defaultSize="0" autoLine="0" autoPict="0">
                <anchor moveWithCells="1">
                  <from>
                    <xdr:col>2</xdr:col>
                    <xdr:colOff>0</xdr:colOff>
                    <xdr:row>73</xdr:row>
                    <xdr:rowOff>0</xdr:rowOff>
                  </from>
                  <to>
                    <xdr:col>6</xdr:col>
                    <xdr:colOff>1390650</xdr:colOff>
                    <xdr:row>74</xdr:row>
                    <xdr:rowOff>0</xdr:rowOff>
                  </to>
                </anchor>
              </controlPr>
            </control>
          </mc:Choice>
        </mc:AlternateContent>
        <mc:AlternateContent xmlns:mc="http://schemas.openxmlformats.org/markup-compatibility/2006">
          <mc:Choice Requires="x14">
            <control shapeId="1140" r:id="rId35" name="Drop Down 116">
              <controlPr locked="0" defaultSize="0" autoLine="0" autoPict="0">
                <anchor moveWithCells="1">
                  <from>
                    <xdr:col>2</xdr:col>
                    <xdr:colOff>28575</xdr:colOff>
                    <xdr:row>162</xdr:row>
                    <xdr:rowOff>200025</xdr:rowOff>
                  </from>
                  <to>
                    <xdr:col>4</xdr:col>
                    <xdr:colOff>542925</xdr:colOff>
                    <xdr:row>163</xdr:row>
                    <xdr:rowOff>190500</xdr:rowOff>
                  </to>
                </anchor>
              </controlPr>
            </control>
          </mc:Choice>
        </mc:AlternateContent>
        <mc:AlternateContent xmlns:mc="http://schemas.openxmlformats.org/markup-compatibility/2006">
          <mc:Choice Requires="x14">
            <control shapeId="1141" r:id="rId36" name="Drop Down 117">
              <controlPr locked="0" defaultSize="0" autoLine="0" autoPict="0">
                <anchor moveWithCells="1">
                  <from>
                    <xdr:col>1</xdr:col>
                    <xdr:colOff>19050</xdr:colOff>
                    <xdr:row>162</xdr:row>
                    <xdr:rowOff>200025</xdr:rowOff>
                  </from>
                  <to>
                    <xdr:col>1</xdr:col>
                    <xdr:colOff>1562100</xdr:colOff>
                    <xdr:row>163</xdr:row>
                    <xdr:rowOff>190500</xdr:rowOff>
                  </to>
                </anchor>
              </controlPr>
            </control>
          </mc:Choice>
        </mc:AlternateContent>
        <mc:AlternateContent xmlns:mc="http://schemas.openxmlformats.org/markup-compatibility/2006">
          <mc:Choice Requires="x14">
            <control shapeId="1142" r:id="rId37" name="Drop Down 118">
              <controlPr locked="0" defaultSize="0" autoLine="0" autoPict="0">
                <anchor moveWithCells="1">
                  <from>
                    <xdr:col>5</xdr:col>
                    <xdr:colOff>28575</xdr:colOff>
                    <xdr:row>162</xdr:row>
                    <xdr:rowOff>200025</xdr:rowOff>
                  </from>
                  <to>
                    <xdr:col>6</xdr:col>
                    <xdr:colOff>990600</xdr:colOff>
                    <xdr:row>163</xdr:row>
                    <xdr:rowOff>190500</xdr:rowOff>
                  </to>
                </anchor>
              </controlPr>
            </control>
          </mc:Choice>
        </mc:AlternateContent>
        <mc:AlternateContent xmlns:mc="http://schemas.openxmlformats.org/markup-compatibility/2006">
          <mc:Choice Requires="x14">
            <control shapeId="1159" r:id="rId38" name="Drop Down 135">
              <controlPr locked="0" defaultSize="0" autoLine="0" autoPict="0">
                <anchor moveWithCells="1">
                  <from>
                    <xdr:col>2</xdr:col>
                    <xdr:colOff>0</xdr:colOff>
                    <xdr:row>136</xdr:row>
                    <xdr:rowOff>9525</xdr:rowOff>
                  </from>
                  <to>
                    <xdr:col>6</xdr:col>
                    <xdr:colOff>323850</xdr:colOff>
                    <xdr:row>137</xdr:row>
                    <xdr:rowOff>0</xdr:rowOff>
                  </to>
                </anchor>
              </controlPr>
            </control>
          </mc:Choice>
        </mc:AlternateContent>
        <mc:AlternateContent xmlns:mc="http://schemas.openxmlformats.org/markup-compatibility/2006">
          <mc:Choice Requires="x14">
            <control shapeId="1160" r:id="rId39" name="Drop Down 136">
              <controlPr locked="0" defaultSize="0" autoLine="0" autoPict="0">
                <anchor moveWithCells="1">
                  <from>
                    <xdr:col>5</xdr:col>
                    <xdr:colOff>457200</xdr:colOff>
                    <xdr:row>2</xdr:row>
                    <xdr:rowOff>28575</xdr:rowOff>
                  </from>
                  <to>
                    <xdr:col>6</xdr:col>
                    <xdr:colOff>1057275</xdr:colOff>
                    <xdr:row>2</xdr:row>
                    <xdr:rowOff>228600</xdr:rowOff>
                  </to>
                </anchor>
              </controlPr>
            </control>
          </mc:Choice>
        </mc:AlternateContent>
        <mc:AlternateContent xmlns:mc="http://schemas.openxmlformats.org/markup-compatibility/2006">
          <mc:Choice Requires="x14">
            <control shapeId="1163" r:id="rId40" name="Drop Down 139">
              <controlPr locked="0" defaultSize="0" autoLine="0" autoPict="0">
                <anchor moveWithCells="1">
                  <from>
                    <xdr:col>2</xdr:col>
                    <xdr:colOff>0</xdr:colOff>
                    <xdr:row>227</xdr:row>
                    <xdr:rowOff>0</xdr:rowOff>
                  </from>
                  <to>
                    <xdr:col>4</xdr:col>
                    <xdr:colOff>600075</xdr:colOff>
                    <xdr:row>227</xdr:row>
                    <xdr:rowOff>200025</xdr:rowOff>
                  </to>
                </anchor>
              </controlPr>
            </control>
          </mc:Choice>
        </mc:AlternateContent>
        <mc:AlternateContent xmlns:mc="http://schemas.openxmlformats.org/markup-compatibility/2006">
          <mc:Choice Requires="x14">
            <control shapeId="1164" r:id="rId41" name="Drop Down 140">
              <controlPr locked="0" defaultSize="0" autoLine="0" autoPict="0">
                <anchor moveWithCells="1">
                  <from>
                    <xdr:col>2</xdr:col>
                    <xdr:colOff>0</xdr:colOff>
                    <xdr:row>228</xdr:row>
                    <xdr:rowOff>0</xdr:rowOff>
                  </from>
                  <to>
                    <xdr:col>4</xdr:col>
                    <xdr:colOff>600075</xdr:colOff>
                    <xdr:row>228</xdr:row>
                    <xdr:rowOff>200025</xdr:rowOff>
                  </to>
                </anchor>
              </controlPr>
            </control>
          </mc:Choice>
        </mc:AlternateContent>
        <mc:AlternateContent xmlns:mc="http://schemas.openxmlformats.org/markup-compatibility/2006">
          <mc:Choice Requires="x14">
            <control shapeId="1166" r:id="rId42" name="Drop Down 142">
              <controlPr locked="0" defaultSize="0" autoLine="0" autoPict="0">
                <anchor moveWithCells="1">
                  <from>
                    <xdr:col>6</xdr:col>
                    <xdr:colOff>66675</xdr:colOff>
                    <xdr:row>184</xdr:row>
                    <xdr:rowOff>66675</xdr:rowOff>
                  </from>
                  <to>
                    <xdr:col>6</xdr:col>
                    <xdr:colOff>1409700</xdr:colOff>
                    <xdr:row>185</xdr:row>
                    <xdr:rowOff>0</xdr:rowOff>
                  </to>
                </anchor>
              </controlPr>
            </control>
          </mc:Choice>
        </mc:AlternateContent>
        <mc:AlternateContent xmlns:mc="http://schemas.openxmlformats.org/markup-compatibility/2006">
          <mc:Choice Requires="x14">
            <control shapeId="1167" r:id="rId43" name="Drop Down 143">
              <controlPr locked="0" defaultSize="0" autoLine="0" autoPict="0">
                <anchor moveWithCells="1">
                  <from>
                    <xdr:col>2</xdr:col>
                    <xdr:colOff>466725</xdr:colOff>
                    <xdr:row>58</xdr:row>
                    <xdr:rowOff>180975</xdr:rowOff>
                  </from>
                  <to>
                    <xdr:col>4</xdr:col>
                    <xdr:colOff>152400</xdr:colOff>
                    <xdr:row>60</xdr:row>
                    <xdr:rowOff>19050</xdr:rowOff>
                  </to>
                </anchor>
              </controlPr>
            </control>
          </mc:Choice>
        </mc:AlternateContent>
        <mc:AlternateContent xmlns:mc="http://schemas.openxmlformats.org/markup-compatibility/2006">
          <mc:Choice Requires="x14">
            <control shapeId="1168" r:id="rId44" name="Drop Down 144">
              <controlPr locked="0" defaultSize="0" autoLine="0" autoPict="0">
                <anchor moveWithCells="1">
                  <from>
                    <xdr:col>6</xdr:col>
                    <xdr:colOff>304800</xdr:colOff>
                    <xdr:row>58</xdr:row>
                    <xdr:rowOff>180975</xdr:rowOff>
                  </from>
                  <to>
                    <xdr:col>6</xdr:col>
                    <xdr:colOff>1181100</xdr:colOff>
                    <xdr:row>60</xdr:row>
                    <xdr:rowOff>19050</xdr:rowOff>
                  </to>
                </anchor>
              </controlPr>
            </control>
          </mc:Choice>
        </mc:AlternateContent>
        <mc:AlternateContent xmlns:mc="http://schemas.openxmlformats.org/markup-compatibility/2006">
          <mc:Choice Requires="x14">
            <control shapeId="1169" r:id="rId45" name="Drop Down 145">
              <controlPr locked="0" defaultSize="0" autoLine="0" autoPict="0">
                <anchor moveWithCells="1">
                  <from>
                    <xdr:col>5</xdr:col>
                    <xdr:colOff>9525</xdr:colOff>
                    <xdr:row>165</xdr:row>
                    <xdr:rowOff>57150</xdr:rowOff>
                  </from>
                  <to>
                    <xdr:col>5</xdr:col>
                    <xdr:colOff>495300</xdr:colOff>
                    <xdr:row>166</xdr:row>
                    <xdr:rowOff>0</xdr:rowOff>
                  </to>
                </anchor>
              </controlPr>
            </control>
          </mc:Choice>
        </mc:AlternateContent>
        <mc:AlternateContent xmlns:mc="http://schemas.openxmlformats.org/markup-compatibility/2006">
          <mc:Choice Requires="x14">
            <control shapeId="1170" r:id="rId46" name="Drop Down 146">
              <controlPr locked="0" defaultSize="0" autoLine="0" autoPict="0">
                <anchor moveWithCells="1">
                  <from>
                    <xdr:col>1</xdr:col>
                    <xdr:colOff>1552575</xdr:colOff>
                    <xdr:row>52</xdr:row>
                    <xdr:rowOff>38100</xdr:rowOff>
                  </from>
                  <to>
                    <xdr:col>3</xdr:col>
                    <xdr:colOff>66675</xdr:colOff>
                    <xdr:row>52</xdr:row>
                    <xdr:rowOff>238125</xdr:rowOff>
                  </to>
                </anchor>
              </controlPr>
            </control>
          </mc:Choice>
        </mc:AlternateContent>
        <mc:AlternateContent xmlns:mc="http://schemas.openxmlformats.org/markup-compatibility/2006">
          <mc:Choice Requires="x14">
            <control shapeId="1171" r:id="rId47" name="Drop Down 147">
              <controlPr locked="0" defaultSize="0" autoLine="0" autoPict="0">
                <anchor moveWithCells="1">
                  <from>
                    <xdr:col>3</xdr:col>
                    <xdr:colOff>0</xdr:colOff>
                    <xdr:row>167</xdr:row>
                    <xdr:rowOff>9525</xdr:rowOff>
                  </from>
                  <to>
                    <xdr:col>4</xdr:col>
                    <xdr:colOff>342900</xdr:colOff>
                    <xdr:row>168</xdr:row>
                    <xdr:rowOff>0</xdr:rowOff>
                  </to>
                </anchor>
              </controlPr>
            </control>
          </mc:Choice>
        </mc:AlternateContent>
        <mc:AlternateContent xmlns:mc="http://schemas.openxmlformats.org/markup-compatibility/2006">
          <mc:Choice Requires="x14">
            <control shapeId="1173" r:id="rId48" name="Drop Down 149">
              <controlPr locked="0" defaultSize="0" autoLine="0" autoPict="0">
                <anchor moveWithCells="1">
                  <from>
                    <xdr:col>4</xdr:col>
                    <xdr:colOff>0</xdr:colOff>
                    <xdr:row>134</xdr:row>
                    <xdr:rowOff>38100</xdr:rowOff>
                  </from>
                  <to>
                    <xdr:col>5</xdr:col>
                    <xdr:colOff>571500</xdr:colOff>
                    <xdr:row>134</xdr:row>
                    <xdr:rowOff>247650</xdr:rowOff>
                  </to>
                </anchor>
              </controlPr>
            </control>
          </mc:Choice>
        </mc:AlternateContent>
        <mc:AlternateContent xmlns:mc="http://schemas.openxmlformats.org/markup-compatibility/2006">
          <mc:Choice Requires="x14">
            <control shapeId="1174" r:id="rId49" name="Drop Down 150">
              <controlPr defaultSize="0" autoLine="0" autoPict="0">
                <anchor moveWithCells="1">
                  <from>
                    <xdr:col>3</xdr:col>
                    <xdr:colOff>276225</xdr:colOff>
                    <xdr:row>119</xdr:row>
                    <xdr:rowOff>19050</xdr:rowOff>
                  </from>
                  <to>
                    <xdr:col>5</xdr:col>
                    <xdr:colOff>400050</xdr:colOff>
                    <xdr:row>120</xdr:row>
                    <xdr:rowOff>19050</xdr:rowOff>
                  </to>
                </anchor>
              </controlPr>
            </control>
          </mc:Choice>
        </mc:AlternateContent>
        <mc:AlternateContent xmlns:mc="http://schemas.openxmlformats.org/markup-compatibility/2006">
          <mc:Choice Requires="x14">
            <control shapeId="1175" r:id="rId50" name="Drop Down 151">
              <controlPr locked="0" defaultSize="0" autoLine="0" autoPict="0">
                <anchor moveWithCells="1">
                  <from>
                    <xdr:col>3</xdr:col>
                    <xdr:colOff>276225</xdr:colOff>
                    <xdr:row>124</xdr:row>
                    <xdr:rowOff>28575</xdr:rowOff>
                  </from>
                  <to>
                    <xdr:col>4</xdr:col>
                    <xdr:colOff>561975</xdr:colOff>
                    <xdr:row>125</xdr:row>
                    <xdr:rowOff>0</xdr:rowOff>
                  </to>
                </anchor>
              </controlPr>
            </control>
          </mc:Choice>
        </mc:AlternateContent>
        <mc:AlternateContent xmlns:mc="http://schemas.openxmlformats.org/markup-compatibility/2006">
          <mc:Choice Requires="x14">
            <control shapeId="1176" r:id="rId51" name="Drop Down 152">
              <controlPr locked="0" defaultSize="0" autoLine="0" autoPict="0">
                <anchor moveWithCells="1">
                  <from>
                    <xdr:col>3</xdr:col>
                    <xdr:colOff>276225</xdr:colOff>
                    <xdr:row>122</xdr:row>
                    <xdr:rowOff>47625</xdr:rowOff>
                  </from>
                  <to>
                    <xdr:col>5</xdr:col>
                    <xdr:colOff>381000</xdr:colOff>
                    <xdr:row>123</xdr:row>
                    <xdr:rowOff>38100</xdr:rowOff>
                  </to>
                </anchor>
              </controlPr>
            </control>
          </mc:Choice>
        </mc:AlternateContent>
        <mc:AlternateContent xmlns:mc="http://schemas.openxmlformats.org/markup-compatibility/2006">
          <mc:Choice Requires="x14">
            <control shapeId="1178" r:id="rId52" name="Drop Down 154">
              <controlPr locked="0" defaultSize="0" autoLine="0" autoPict="0">
                <anchor moveWithCells="1">
                  <from>
                    <xdr:col>2</xdr:col>
                    <xdr:colOff>28575</xdr:colOff>
                    <xdr:row>149</xdr:row>
                    <xdr:rowOff>9525</xdr:rowOff>
                  </from>
                  <to>
                    <xdr:col>3</xdr:col>
                    <xdr:colOff>295275</xdr:colOff>
                    <xdr:row>149</xdr:row>
                    <xdr:rowOff>219075</xdr:rowOff>
                  </to>
                </anchor>
              </controlPr>
            </control>
          </mc:Choice>
        </mc:AlternateContent>
        <mc:AlternateContent xmlns:mc="http://schemas.openxmlformats.org/markup-compatibility/2006">
          <mc:Choice Requires="x14">
            <control shapeId="1179" r:id="rId53" name="Drop Down 155">
              <controlPr locked="0" defaultSize="0" autoLine="0" autoPict="0">
                <anchor moveWithCells="1">
                  <from>
                    <xdr:col>1</xdr:col>
                    <xdr:colOff>1333500</xdr:colOff>
                    <xdr:row>192</xdr:row>
                    <xdr:rowOff>28575</xdr:rowOff>
                  </from>
                  <to>
                    <xdr:col>2</xdr:col>
                    <xdr:colOff>495300</xdr:colOff>
                    <xdr:row>193</xdr:row>
                    <xdr:rowOff>19050</xdr:rowOff>
                  </to>
                </anchor>
              </controlPr>
            </control>
          </mc:Choice>
        </mc:AlternateContent>
        <mc:AlternateContent xmlns:mc="http://schemas.openxmlformats.org/markup-compatibility/2006">
          <mc:Choice Requires="x14">
            <control shapeId="1180" r:id="rId54" name="Drop Down 156">
              <controlPr locked="0" defaultSize="0" autoLine="0" autoPict="0">
                <anchor moveWithCells="1">
                  <from>
                    <xdr:col>1</xdr:col>
                    <xdr:colOff>638175</xdr:colOff>
                    <xdr:row>188</xdr:row>
                    <xdr:rowOff>19050</xdr:rowOff>
                  </from>
                  <to>
                    <xdr:col>3</xdr:col>
                    <xdr:colOff>428625</xdr:colOff>
                    <xdr:row>189</xdr:row>
                    <xdr:rowOff>38100</xdr:rowOff>
                  </to>
                </anchor>
              </controlPr>
            </control>
          </mc:Choice>
        </mc:AlternateContent>
        <mc:AlternateContent xmlns:mc="http://schemas.openxmlformats.org/markup-compatibility/2006">
          <mc:Choice Requires="x14">
            <control shapeId="1181" r:id="rId55" name="Drop Down 157">
              <controlPr locked="0" defaultSize="0" autoLine="0" autoPict="0">
                <anchor moveWithCells="1">
                  <from>
                    <xdr:col>4</xdr:col>
                    <xdr:colOff>57150</xdr:colOff>
                    <xdr:row>188</xdr:row>
                    <xdr:rowOff>19050</xdr:rowOff>
                  </from>
                  <to>
                    <xdr:col>6</xdr:col>
                    <xdr:colOff>990600</xdr:colOff>
                    <xdr:row>189</xdr:row>
                    <xdr:rowOff>38100</xdr:rowOff>
                  </to>
                </anchor>
              </controlPr>
            </control>
          </mc:Choice>
        </mc:AlternateContent>
        <mc:AlternateContent xmlns:mc="http://schemas.openxmlformats.org/markup-compatibility/2006">
          <mc:Choice Requires="x14">
            <control shapeId="1182" r:id="rId56" name="Drop Down 158">
              <controlPr locked="0" defaultSize="0" autoLine="0" autoPict="0">
                <anchor moveWithCells="1">
                  <from>
                    <xdr:col>4</xdr:col>
                    <xdr:colOff>552450</xdr:colOff>
                    <xdr:row>154</xdr:row>
                    <xdr:rowOff>161925</xdr:rowOff>
                  </from>
                  <to>
                    <xdr:col>6</xdr:col>
                    <xdr:colOff>171450</xdr:colOff>
                    <xdr:row>155</xdr:row>
                    <xdr:rowOff>152400</xdr:rowOff>
                  </to>
                </anchor>
              </controlPr>
            </control>
          </mc:Choice>
        </mc:AlternateContent>
        <mc:AlternateContent xmlns:mc="http://schemas.openxmlformats.org/markup-compatibility/2006">
          <mc:Choice Requires="x14">
            <control shapeId="1186" r:id="rId57" name="Drop Down 162">
              <controlPr locked="0" defaultSize="0" autoLine="0" autoPict="0">
                <anchor moveWithCells="1">
                  <from>
                    <xdr:col>1</xdr:col>
                    <xdr:colOff>1447800</xdr:colOff>
                    <xdr:row>175</xdr:row>
                    <xdr:rowOff>0</xdr:rowOff>
                  </from>
                  <to>
                    <xdr:col>3</xdr:col>
                    <xdr:colOff>457200</xdr:colOff>
                    <xdr:row>175</xdr:row>
                    <xdr:rowOff>209550</xdr:rowOff>
                  </to>
                </anchor>
              </controlPr>
            </control>
          </mc:Choice>
        </mc:AlternateContent>
        <mc:AlternateContent xmlns:mc="http://schemas.openxmlformats.org/markup-compatibility/2006">
          <mc:Choice Requires="x14">
            <control shapeId="1188" r:id="rId58" name="Drop Down 164">
              <controlPr locked="0" defaultSize="0" autoLine="0" autoPict="0">
                <anchor moveWithCells="1">
                  <from>
                    <xdr:col>2</xdr:col>
                    <xdr:colOff>0</xdr:colOff>
                    <xdr:row>222</xdr:row>
                    <xdr:rowOff>28575</xdr:rowOff>
                  </from>
                  <to>
                    <xdr:col>4</xdr:col>
                    <xdr:colOff>590550</xdr:colOff>
                    <xdr:row>222</xdr:row>
                    <xdr:rowOff>228600</xdr:rowOff>
                  </to>
                </anchor>
              </controlPr>
            </control>
          </mc:Choice>
        </mc:AlternateContent>
        <mc:AlternateContent xmlns:mc="http://schemas.openxmlformats.org/markup-compatibility/2006">
          <mc:Choice Requires="x14">
            <control shapeId="1193" r:id="rId59" name="Drop Down 169">
              <controlPr defaultSize="0" autoLine="0" autoPict="0">
                <anchor moveWithCells="1">
                  <from>
                    <xdr:col>6</xdr:col>
                    <xdr:colOff>9525</xdr:colOff>
                    <xdr:row>252</xdr:row>
                    <xdr:rowOff>9525</xdr:rowOff>
                  </from>
                  <to>
                    <xdr:col>6</xdr:col>
                    <xdr:colOff>1190625</xdr:colOff>
                    <xdr:row>252</xdr:row>
                    <xdr:rowOff>209550</xdr:rowOff>
                  </to>
                </anchor>
              </controlPr>
            </control>
          </mc:Choice>
        </mc:AlternateContent>
        <mc:AlternateContent xmlns:mc="http://schemas.openxmlformats.org/markup-compatibility/2006">
          <mc:Choice Requires="x14">
            <control shapeId="1201" r:id="rId60" name="Drop Down 177">
              <controlPr defaultSize="0" autoLine="0" autoPict="0">
                <anchor moveWithCells="1">
                  <from>
                    <xdr:col>3</xdr:col>
                    <xdr:colOff>276225</xdr:colOff>
                    <xdr:row>121</xdr:row>
                    <xdr:rowOff>57150</xdr:rowOff>
                  </from>
                  <to>
                    <xdr:col>5</xdr:col>
                    <xdr:colOff>390525</xdr:colOff>
                    <xdr:row>121</xdr:row>
                    <xdr:rowOff>314325</xdr:rowOff>
                  </to>
                </anchor>
              </controlPr>
            </control>
          </mc:Choice>
        </mc:AlternateContent>
        <mc:AlternateContent xmlns:mc="http://schemas.openxmlformats.org/markup-compatibility/2006">
          <mc:Choice Requires="x14">
            <control shapeId="1205" r:id="rId61" name="Drop Down 181">
              <controlPr locked="0" defaultSize="0" autoLine="0" autoPict="0">
                <anchor moveWithCells="1">
                  <from>
                    <xdr:col>5</xdr:col>
                    <xdr:colOff>76200</xdr:colOff>
                    <xdr:row>192</xdr:row>
                    <xdr:rowOff>9525</xdr:rowOff>
                  </from>
                  <to>
                    <xdr:col>6</xdr:col>
                    <xdr:colOff>342900</xdr:colOff>
                    <xdr:row>193</xdr:row>
                    <xdr:rowOff>0</xdr:rowOff>
                  </to>
                </anchor>
              </controlPr>
            </control>
          </mc:Choice>
        </mc:AlternateContent>
        <mc:AlternateContent xmlns:mc="http://schemas.openxmlformats.org/markup-compatibility/2006">
          <mc:Choice Requires="x14">
            <control shapeId="1206" r:id="rId62" name="Drop Down 182">
              <controlPr locked="0" defaultSize="0" autoLine="0" autoPict="0">
                <anchor moveWithCells="1">
                  <from>
                    <xdr:col>1</xdr:col>
                    <xdr:colOff>1333500</xdr:colOff>
                    <xdr:row>193</xdr:row>
                    <xdr:rowOff>19050</xdr:rowOff>
                  </from>
                  <to>
                    <xdr:col>2</xdr:col>
                    <xdr:colOff>495300</xdr:colOff>
                    <xdr:row>194</xdr:row>
                    <xdr:rowOff>9525</xdr:rowOff>
                  </to>
                </anchor>
              </controlPr>
            </control>
          </mc:Choice>
        </mc:AlternateContent>
        <mc:AlternateContent xmlns:mc="http://schemas.openxmlformats.org/markup-compatibility/2006">
          <mc:Choice Requires="x14">
            <control shapeId="1207" r:id="rId63" name="Drop Down 183">
              <controlPr locked="0" defaultSize="0" autoLine="0" autoPict="0">
                <anchor moveWithCells="1">
                  <from>
                    <xdr:col>1</xdr:col>
                    <xdr:colOff>1333500</xdr:colOff>
                    <xdr:row>194</xdr:row>
                    <xdr:rowOff>9525</xdr:rowOff>
                  </from>
                  <to>
                    <xdr:col>2</xdr:col>
                    <xdr:colOff>495300</xdr:colOff>
                    <xdr:row>195</xdr:row>
                    <xdr:rowOff>0</xdr:rowOff>
                  </to>
                </anchor>
              </controlPr>
            </control>
          </mc:Choice>
        </mc:AlternateContent>
        <mc:AlternateContent xmlns:mc="http://schemas.openxmlformats.org/markup-compatibility/2006">
          <mc:Choice Requires="x14">
            <control shapeId="1210" r:id="rId64" name="Drop Down 186">
              <controlPr locked="0" defaultSize="0" autoLine="0" autoPict="0">
                <anchor moveWithCells="1">
                  <from>
                    <xdr:col>6</xdr:col>
                    <xdr:colOff>228600</xdr:colOff>
                    <xdr:row>25</xdr:row>
                    <xdr:rowOff>104775</xdr:rowOff>
                  </from>
                  <to>
                    <xdr:col>6</xdr:col>
                    <xdr:colOff>1438275</xdr:colOff>
                    <xdr:row>26</xdr:row>
                    <xdr:rowOff>152400</xdr:rowOff>
                  </to>
                </anchor>
              </controlPr>
            </control>
          </mc:Choice>
        </mc:AlternateContent>
        <mc:AlternateContent xmlns:mc="http://schemas.openxmlformats.org/markup-compatibility/2006">
          <mc:Choice Requires="x14">
            <control shapeId="1241" r:id="rId65" name="Drop Down 217">
              <controlPr defaultSize="0" autoLine="0" autoPict="0">
                <anchor moveWithCells="1">
                  <from>
                    <xdr:col>6</xdr:col>
                    <xdr:colOff>457200</xdr:colOff>
                    <xdr:row>147</xdr:row>
                    <xdr:rowOff>19050</xdr:rowOff>
                  </from>
                  <to>
                    <xdr:col>6</xdr:col>
                    <xdr:colOff>952500</xdr:colOff>
                    <xdr:row>147</xdr:row>
                    <xdr:rowOff>219075</xdr:rowOff>
                  </to>
                </anchor>
              </controlPr>
            </control>
          </mc:Choice>
        </mc:AlternateContent>
        <mc:AlternateContent xmlns:mc="http://schemas.openxmlformats.org/markup-compatibility/2006">
          <mc:Choice Requires="x14">
            <control shapeId="1344" r:id="rId66" name="Check Box 320">
              <controlPr locked="0" defaultSize="0" autoFill="0" autoLine="0" autoPict="0">
                <anchor moveWithCells="1">
                  <from>
                    <xdr:col>6</xdr:col>
                    <xdr:colOff>371475</xdr:colOff>
                    <xdr:row>132</xdr:row>
                    <xdr:rowOff>238125</xdr:rowOff>
                  </from>
                  <to>
                    <xdr:col>6</xdr:col>
                    <xdr:colOff>676275</xdr:colOff>
                    <xdr:row>134</xdr:row>
                    <xdr:rowOff>0</xdr:rowOff>
                  </to>
                </anchor>
              </controlPr>
            </control>
          </mc:Choice>
        </mc:AlternateContent>
        <mc:AlternateContent xmlns:mc="http://schemas.openxmlformats.org/markup-compatibility/2006">
          <mc:Choice Requires="x14">
            <control shapeId="1538" r:id="rId67" name="Drop Down 514">
              <controlPr locked="0" defaultSize="0" autoLine="0" autoPict="0">
                <anchor moveWithCells="1">
                  <from>
                    <xdr:col>3</xdr:col>
                    <xdr:colOff>0</xdr:colOff>
                    <xdr:row>170</xdr:row>
                    <xdr:rowOff>0</xdr:rowOff>
                  </from>
                  <to>
                    <xdr:col>4</xdr:col>
                    <xdr:colOff>342900</xdr:colOff>
                    <xdr:row>170</xdr:row>
                    <xdr:rowOff>209550</xdr:rowOff>
                  </to>
                </anchor>
              </controlPr>
            </control>
          </mc:Choice>
        </mc:AlternateContent>
        <mc:AlternateContent xmlns:mc="http://schemas.openxmlformats.org/markup-compatibility/2006">
          <mc:Choice Requires="x14">
            <control shapeId="1674" r:id="rId68" name="Drop Down 650">
              <controlPr locked="0" defaultSize="0" autoLine="0" autoPict="0">
                <anchor moveWithCells="1">
                  <from>
                    <xdr:col>3</xdr:col>
                    <xdr:colOff>0</xdr:colOff>
                    <xdr:row>172</xdr:row>
                    <xdr:rowOff>180975</xdr:rowOff>
                  </from>
                  <to>
                    <xdr:col>4</xdr:col>
                    <xdr:colOff>342900</xdr:colOff>
                    <xdr:row>173</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Y55"/>
  <sheetViews>
    <sheetView topLeftCell="A26" workbookViewId="0">
      <selection activeCell="I66" sqref="I66"/>
    </sheetView>
  </sheetViews>
  <sheetFormatPr defaultRowHeight="12.75"/>
  <cols>
    <col min="1" max="1" width="9.140625" style="49"/>
    <col min="2" max="2" width="11.42578125" style="49" bestFit="1" customWidth="1"/>
    <col min="3" max="15" width="9.140625" style="49"/>
    <col min="16" max="16" width="17.85546875" style="49" customWidth="1"/>
    <col min="17" max="17" width="57.85546875" style="49" customWidth="1"/>
    <col min="18" max="18" width="39" style="49" customWidth="1"/>
    <col min="19" max="19" width="9.140625" style="49"/>
    <col min="20" max="20" width="22.42578125" style="49" customWidth="1"/>
    <col min="21" max="23" width="9.140625" style="49"/>
    <col min="24" max="24" width="20.85546875" style="49" customWidth="1"/>
    <col min="25" max="16384" width="9.140625" style="49"/>
  </cols>
  <sheetData>
    <row r="1" spans="1:25" s="190" customFormat="1">
      <c r="A1" s="190">
        <f>Application!H404</f>
        <v>1</v>
      </c>
      <c r="B1" s="190" t="s">
        <v>3287</v>
      </c>
      <c r="D1" s="190" t="str">
        <f>LOOKUP($A$1,'Lang Hull'!$A$3:$A$8,'Lang Hull'!D3:D8)</f>
        <v>Production boat? See Green tab below for information about standard hull data</v>
      </c>
      <c r="E1" s="190" t="str">
        <f>LOOKUP($A$1,'Lang Hull'!$A$3:$A$8,'Lang Hull'!E3:E8)</f>
        <v>Please select the most suitable description from each category.  If "other" give details in the box at the end of this form</v>
      </c>
      <c r="F1" s="190" t="str">
        <f>LOOKUP($A$1,'Lang Hull'!$A$3:$A$8,'Lang Hull'!F3:F8)</f>
        <v>Hull form</v>
      </c>
      <c r="G1" s="190" t="str">
        <f>LOOKUP($A$1,'Lang Hull'!$A$3:$A$8,'Lang Hull'!G3:G8)</f>
        <v>Keel configuration</v>
      </c>
      <c r="H1" s="190" t="str">
        <f>LOOKUP($A$1,'Lang Hull'!$A$3:$A$8,'Lang Hull'!H3:H8)</f>
        <v>Single fin keel type</v>
      </c>
      <c r="I1" s="190" t="str">
        <f>LOOKUP($A$1,'Lang Hull'!$A$3:$A$8,'Lang Hull'!I3:I8)</f>
        <v>See "IRC Keels" worksheet, or Yearbook</v>
      </c>
      <c r="J1" s="190">
        <f>LOOKUP($A$1,'Lang Hull'!$A$3:$A$8,'Lang Hull'!J3:J8)</f>
        <v>0</v>
      </c>
      <c r="K1" s="190" t="str">
        <f>LOOKUP($A$1,'Lang Hull'!$A$3:$A$8,'Lang Hull'!K3:K8)</f>
        <v>Rudder</v>
      </c>
      <c r="L1" s="190" t="str">
        <f>LOOKUP($A$1,'Lang Hull'!$A$3:$A$8,'Lang Hull'!L3:L8)</f>
        <v>Hull material</v>
      </c>
      <c r="M1" s="190" t="str">
        <f>LOOKUP($A$1,'Lang Hull'!$A$3:$A$8,'Lang Hull'!M3:M8)</f>
        <v>Accommodation</v>
      </c>
      <c r="N1" s="190" t="str">
        <f>LOOKUP($A$1,'Lang Hull'!$A$3:$A$8,'Lang Hull'!N3:N8)</f>
        <v>Accommodation material</v>
      </c>
      <c r="O1" s="190" t="str">
        <f>LOOKUP($A$1,'Lang Hull'!$A$3:$A$8,'Lang Hull'!O3:O8)</f>
        <v>Trim tab(s)</v>
      </c>
      <c r="P1" s="190" t="str">
        <f>LOOKUP($A$1,'Lang Hull'!$A$3:$A$8,'Lang Hull'!P3:P8)</f>
        <v>Daggerboards (other than keel)</v>
      </c>
      <c r="Q1" s="190" t="str">
        <f>LOOKUP($A$1,'Lang Hull'!$A$3:$A$8,'Lang Hull'!Q3:Q8)</f>
        <v>Canard/forward rudder</v>
      </c>
      <c r="R1" s="190" t="str">
        <f>LOOKUP($A$1,'Lang Hull'!$A$3:$A$8,'Lang Hull'!R3:R8)</f>
        <v>Does the boat weight include: Batteries?</v>
      </c>
      <c r="S1" s="190" t="str">
        <f>LOOKUP($A$1,'Lang Hull'!$A$3:$A$8,'Lang Hull'!S3:S8)</f>
        <v>Berth cushions?</v>
      </c>
      <c r="T1" s="190" t="str">
        <f>LOOKUP($A$1,'Lang Hull'!$A$3:$A$8,'Lang Hull'!T3:T8)</f>
        <v>see Rule 22.1.1</v>
      </c>
      <c r="U1" s="190" t="str">
        <f>LOOKUP($A$1,'Lang Hull'!$A$3:$A$8,'Lang Hull'!U3:U8)</f>
        <v>HULL and APPENDAGES</v>
      </c>
    </row>
    <row r="2" spans="1:25">
      <c r="J2" s="63"/>
    </row>
    <row r="3" spans="1:25">
      <c r="A3" s="49">
        <v>1</v>
      </c>
      <c r="B3" s="49" t="s">
        <v>3288</v>
      </c>
      <c r="D3" s="107" t="s">
        <v>2359</v>
      </c>
      <c r="E3" s="223" t="s">
        <v>2775</v>
      </c>
      <c r="F3" s="49" t="s">
        <v>3748</v>
      </c>
      <c r="G3" s="49" t="s">
        <v>2472</v>
      </c>
      <c r="H3" s="402" t="s">
        <v>2473</v>
      </c>
      <c r="I3" s="179" t="s">
        <v>4662</v>
      </c>
      <c r="J3" s="63"/>
      <c r="K3" s="49" t="s">
        <v>3891</v>
      </c>
      <c r="L3" s="49" t="s">
        <v>3892</v>
      </c>
      <c r="M3" s="49" t="s">
        <v>3893</v>
      </c>
      <c r="N3" s="125" t="s">
        <v>1599</v>
      </c>
      <c r="O3" s="179" t="s">
        <v>4535</v>
      </c>
      <c r="P3" s="49" t="s">
        <v>4073</v>
      </c>
      <c r="Q3" s="49" t="s">
        <v>4071</v>
      </c>
      <c r="R3" s="223" t="s">
        <v>2534</v>
      </c>
      <c r="S3" s="466" t="s">
        <v>4555</v>
      </c>
      <c r="T3" s="466" t="s">
        <v>4556</v>
      </c>
      <c r="U3" s="466" t="s">
        <v>861</v>
      </c>
      <c r="V3" s="240"/>
      <c r="W3" s="240"/>
    </row>
    <row r="4" spans="1:25">
      <c r="A4" s="49">
        <v>2</v>
      </c>
      <c r="B4" s="49" t="s">
        <v>3289</v>
      </c>
      <c r="D4" s="2" t="s">
        <v>3568</v>
      </c>
      <c r="E4" s="239" t="s">
        <v>416</v>
      </c>
      <c r="F4" s="125" t="s">
        <v>909</v>
      </c>
      <c r="G4" s="125" t="s">
        <v>910</v>
      </c>
      <c r="H4" s="239" t="s">
        <v>417</v>
      </c>
      <c r="I4" s="239" t="s">
        <v>4201</v>
      </c>
      <c r="J4" s="125"/>
      <c r="K4" s="125" t="s">
        <v>911</v>
      </c>
      <c r="L4" s="125" t="s">
        <v>912</v>
      </c>
      <c r="M4" s="125" t="s">
        <v>913</v>
      </c>
      <c r="N4" s="125" t="s">
        <v>914</v>
      </c>
      <c r="O4" s="407" t="s">
        <v>4545</v>
      </c>
      <c r="P4" s="125" t="s">
        <v>915</v>
      </c>
      <c r="Q4" s="125" t="s">
        <v>916</v>
      </c>
      <c r="R4" s="125" t="s">
        <v>144</v>
      </c>
      <c r="S4" s="465" t="s">
        <v>917</v>
      </c>
      <c r="T4" s="466" t="s">
        <v>4556</v>
      </c>
      <c r="U4" s="466" t="s">
        <v>1924</v>
      </c>
    </row>
    <row r="5" spans="1:25">
      <c r="A5" s="49">
        <v>3</v>
      </c>
      <c r="B5" s="49" t="s">
        <v>3290</v>
      </c>
      <c r="D5" s="2" t="s">
        <v>3566</v>
      </c>
      <c r="E5" s="242" t="s">
        <v>3698</v>
      </c>
      <c r="F5" s="226" t="s">
        <v>3699</v>
      </c>
      <c r="G5" s="226" t="s">
        <v>3700</v>
      </c>
      <c r="H5" s="183" t="s">
        <v>3701</v>
      </c>
      <c r="I5" s="226" t="s">
        <v>4202</v>
      </c>
      <c r="J5" s="226"/>
      <c r="K5" s="226" t="s">
        <v>3706</v>
      </c>
      <c r="L5" s="226" t="s">
        <v>3707</v>
      </c>
      <c r="M5" s="226" t="s">
        <v>3708</v>
      </c>
      <c r="N5" s="243" t="s">
        <v>3709</v>
      </c>
      <c r="O5" s="403" t="s">
        <v>4535</v>
      </c>
      <c r="P5" s="226" t="s">
        <v>3710</v>
      </c>
      <c r="Q5" s="226" t="s">
        <v>3711</v>
      </c>
      <c r="R5" s="242" t="s">
        <v>2535</v>
      </c>
      <c r="S5" s="563" t="s">
        <v>730</v>
      </c>
      <c r="T5" s="466" t="s">
        <v>4556</v>
      </c>
      <c r="U5" s="466" t="s">
        <v>1939</v>
      </c>
    </row>
    <row r="6" spans="1:25">
      <c r="A6" s="49">
        <v>4</v>
      </c>
      <c r="B6" s="49" t="s">
        <v>3291</v>
      </c>
      <c r="D6" s="107"/>
      <c r="E6" s="223"/>
      <c r="H6" s="107"/>
      <c r="N6" s="125"/>
      <c r="R6" s="223"/>
      <c r="S6" s="466"/>
      <c r="T6" s="466"/>
      <c r="U6" s="466"/>
    </row>
    <row r="7" spans="1:25">
      <c r="A7" s="49">
        <v>5</v>
      </c>
      <c r="B7" s="49" t="s">
        <v>3292</v>
      </c>
      <c r="D7" s="2" t="s">
        <v>3567</v>
      </c>
      <c r="E7" s="242" t="s">
        <v>2547</v>
      </c>
      <c r="F7" s="226" t="s">
        <v>2548</v>
      </c>
      <c r="G7" s="226" t="s">
        <v>2549</v>
      </c>
      <c r="H7" s="183" t="s">
        <v>2550</v>
      </c>
      <c r="I7" s="226" t="s">
        <v>4203</v>
      </c>
      <c r="J7" s="226"/>
      <c r="K7" s="226" t="s">
        <v>1111</v>
      </c>
      <c r="L7" s="226" t="s">
        <v>1112</v>
      </c>
      <c r="M7" s="226" t="s">
        <v>1113</v>
      </c>
      <c r="N7" s="243" t="s">
        <v>1114</v>
      </c>
      <c r="O7" s="403" t="s">
        <v>4535</v>
      </c>
      <c r="P7" s="226" t="s">
        <v>1116</v>
      </c>
      <c r="Q7" s="226" t="s">
        <v>1115</v>
      </c>
      <c r="R7" s="242" t="s">
        <v>145</v>
      </c>
      <c r="S7" s="563" t="s">
        <v>1117</v>
      </c>
      <c r="T7" s="466" t="s">
        <v>4556</v>
      </c>
      <c r="U7" s="684" t="s">
        <v>861</v>
      </c>
    </row>
    <row r="8" spans="1:25" s="178" customFormat="1">
      <c r="A8" s="178">
        <v>6</v>
      </c>
      <c r="B8" s="178" t="s">
        <v>3204</v>
      </c>
      <c r="D8" s="107" t="s">
        <v>1783</v>
      </c>
      <c r="E8" s="178" t="s">
        <v>1498</v>
      </c>
      <c r="F8" s="223" t="s">
        <v>3748</v>
      </c>
      <c r="G8" s="223" t="s">
        <v>2472</v>
      </c>
      <c r="H8" s="107" t="s">
        <v>2473</v>
      </c>
      <c r="I8" s="223" t="s">
        <v>4204</v>
      </c>
      <c r="K8" s="223" t="s">
        <v>3891</v>
      </c>
      <c r="L8" s="223" t="s">
        <v>3892</v>
      </c>
      <c r="M8" s="223" t="s">
        <v>3893</v>
      </c>
      <c r="N8" s="125" t="s">
        <v>1599</v>
      </c>
      <c r="O8" s="403" t="s">
        <v>4535</v>
      </c>
      <c r="P8" s="223" t="s">
        <v>3203</v>
      </c>
      <c r="Q8" s="223" t="s">
        <v>4071</v>
      </c>
      <c r="R8" s="223" t="s">
        <v>146</v>
      </c>
      <c r="S8" s="390" t="s">
        <v>1944</v>
      </c>
      <c r="T8" s="466" t="s">
        <v>4556</v>
      </c>
      <c r="U8" s="466" t="s">
        <v>4776</v>
      </c>
    </row>
    <row r="9" spans="1:25">
      <c r="D9" s="107"/>
      <c r="E9" s="223"/>
      <c r="H9" s="107"/>
      <c r="N9" s="125"/>
      <c r="R9" s="223"/>
      <c r="S9" s="240"/>
    </row>
    <row r="10" spans="1:25">
      <c r="D10" s="107"/>
      <c r="E10" s="223"/>
      <c r="H10" s="107"/>
      <c r="N10" s="125"/>
      <c r="R10" s="223"/>
      <c r="S10" s="240"/>
    </row>
    <row r="11" spans="1:25">
      <c r="D11" s="107"/>
      <c r="E11" s="223"/>
      <c r="H11" s="107"/>
      <c r="N11" s="125"/>
      <c r="R11" s="223"/>
      <c r="S11" s="240"/>
    </row>
    <row r="12" spans="1:25">
      <c r="D12" s="107"/>
      <c r="E12" s="223"/>
      <c r="H12" s="107"/>
      <c r="N12" s="125"/>
      <c r="R12" s="223"/>
      <c r="S12" s="240"/>
    </row>
    <row r="13" spans="1:25">
      <c r="D13" s="107"/>
      <c r="E13" s="223"/>
      <c r="H13" s="107"/>
      <c r="N13" s="125"/>
      <c r="R13" s="223"/>
      <c r="S13" s="240"/>
    </row>
    <row r="15" spans="1:25" s="190" customFormat="1">
      <c r="B15" s="190" t="s">
        <v>3287</v>
      </c>
      <c r="D15" s="190" t="str">
        <f>LOOKUP($A$1,'Lang Hull'!$A$3:$A$8,'Lang Hull'!D17:D22)</f>
        <v>METRES or KILOGRAMMES</v>
      </c>
      <c r="E15" s="190" t="str">
        <f>LOOKUP($A$1,'Lang Hull'!$A$3:$A$8,'Lang Hull'!E17:E22)</f>
        <v>DO NOT ENTER "m" OR "kg"!</v>
      </c>
      <c r="F15" s="190" t="str">
        <f>LOOKUP($A$1,'Lang Hull'!$A$3:$A$8,'Lang Hull'!F17:F22)</f>
        <v>Source of information</v>
      </c>
      <c r="G15" s="190" t="str">
        <f>LOOKUP($A$1,'Lang Hull'!$A$3:$A$8,'Lang Hull'!G17:G22)</f>
        <v>Required. Eg. owner, measurer (name)</v>
      </c>
      <c r="H15" s="190" t="str">
        <f>LOOKUP($A$1,'Lang Hull'!$A$3:$A$8,'Lang Hull'!H17:H22)</f>
        <v>Hull Length</v>
      </c>
      <c r="I15" s="190" t="str">
        <f>LOOKUP($A$1,'Lang Hull'!$A$3:$A$8,'Lang Hull'!I17:I22)</f>
        <v>Bow &amp; stern overhangs</v>
      </c>
      <c r="J15" s="190" t="str">
        <f>LOOKUP($A$1,'Lang Hull'!$A$3:$A$8,'Lang Hull'!J17:J22)</f>
        <v>x &amp; h - input 0.00 if no flying bow</v>
      </c>
      <c r="K15" s="190" t="str">
        <f>LOOKUP($A$1,'Lang Hull'!$A$3:$A$8,'Lang Hull'!K17:K22)</f>
        <v>y is always required</v>
      </c>
      <c r="L15" s="190" t="str">
        <f>LOOKUP($A$1,'Lang Hull'!$A$3:$A$8,'Lang Hull'!L17:L22)</f>
        <v>Waterline length</v>
      </c>
      <c r="M15" s="190" t="str">
        <f>LOOKUP($A$1,'Lang Hull'!$A$3:$A$8,'Lang Hull'!M17:M22)</f>
        <v>calculated from LH-BO-SO</v>
      </c>
      <c r="N15" s="190" t="str">
        <f>LOOKUP($A$1,'Lang Hull'!$A$3:$A$8,'Lang Hull'!N17:N22)</f>
        <v>Weight</v>
      </c>
      <c r="O15" s="190" t="str">
        <f>LOOKUP($A$1,'Lang Hull'!$A$3:$A$8,'Lang Hull'!O17:O22)</f>
        <v>Disp</v>
      </c>
      <c r="P15" s="190" t="str">
        <f>LOOKUP($A$1,'Lang Hull'!$A$3:$A$8,'Lang Hull'!P17:P22)</f>
        <v>Boat weight (kg)</v>
      </c>
      <c r="Q15" s="190" t="str">
        <f>LOOKUP($A$1,'Lang Hull'!$A$3:$A$8,'Lang Hull'!Q17:Q22)</f>
        <v>OR sailing displacement (kg)</v>
      </c>
      <c r="R15" s="190" t="str">
        <f>LOOKUP($A$1,'Lang Hull'!$A$3:$A$8,'Lang Hull'!R17:R22)</f>
        <v>if no empty wt available</v>
      </c>
      <c r="S15" s="190" t="str">
        <f>LOOKUP($A$1,'Lang Hull'!$A$3:$A$8,'Lang Hull'!S17:S22)</f>
        <v>Is any internal ballast fitted?</v>
      </c>
      <c r="T15" s="190" t="str">
        <f>LOOKUP($A$1,'Lang Hull'!$A$3:$A$8,'Lang Hull'!T17:T22)</f>
        <v>If yes :  How much ?</v>
      </c>
      <c r="U15" s="190" t="str">
        <f>LOOKUP($A$1,'Lang Hull'!$A$3:$A$8,'Lang Hull'!U17:U22)</f>
        <v>Hull Hollows: Are there any hollows (concave sections) in the surface of the hull above the waterline in any section at or aft of maximum beam?</v>
      </c>
      <c r="V15" s="190" t="str">
        <f>LOOKUP($A$1,'Lang Hull'!$A$3:$A$8,'Lang Hull'!V17:V22)</f>
        <v>If YES please supply photo/drawing</v>
      </c>
      <c r="W15" s="190" t="str">
        <f>LOOKUP($A$1,'Lang Hull'!$A$3:$A$8,'Lang Hull'!W17:W22)</f>
        <v>Hollows</v>
      </c>
      <c r="X15" s="190" t="str">
        <f>LOOKUP($A$1,'Lang Hull'!$A$3:$A$8,'Lang Hull'!X17:X22)</f>
        <v>Hull topside hollows</v>
      </c>
      <c r="Y15" s="190" t="str">
        <f>LOOKUP($A$1,'Lang Hull'!$A$3:$A$8,'Lang Hull'!Y17:Y22)</f>
        <v>Material in keel fin (rule 19.6)</v>
      </c>
    </row>
    <row r="17" spans="1:25">
      <c r="A17" s="49">
        <v>1</v>
      </c>
      <c r="B17" s="49" t="s">
        <v>3288</v>
      </c>
      <c r="D17" s="402" t="s">
        <v>4513</v>
      </c>
      <c r="E17" s="223" t="s">
        <v>3879</v>
      </c>
      <c r="F17" s="107" t="s">
        <v>3901</v>
      </c>
      <c r="G17" s="402" t="s">
        <v>4517</v>
      </c>
      <c r="H17" s="49" t="s">
        <v>3822</v>
      </c>
      <c r="I17" s="49" t="s">
        <v>1</v>
      </c>
      <c r="J17" s="59" t="s">
        <v>189</v>
      </c>
      <c r="K17" s="244" t="s">
        <v>936</v>
      </c>
      <c r="L17" s="49" t="s">
        <v>3312</v>
      </c>
      <c r="M17" s="223" t="s">
        <v>2842</v>
      </c>
      <c r="N17" s="107" t="s">
        <v>3916</v>
      </c>
      <c r="O17" s="107" t="s">
        <v>3918</v>
      </c>
      <c r="P17" s="49" t="s">
        <v>3255</v>
      </c>
      <c r="Q17" s="49" t="s">
        <v>3256</v>
      </c>
      <c r="R17" s="49" t="s">
        <v>2</v>
      </c>
      <c r="S17" s="159" t="s">
        <v>3919</v>
      </c>
      <c r="T17" s="125" t="s">
        <v>3920</v>
      </c>
      <c r="U17" s="245" t="s">
        <v>180</v>
      </c>
      <c r="V17" s="246" t="s">
        <v>2258</v>
      </c>
      <c r="W17" s="247" t="s">
        <v>3929</v>
      </c>
      <c r="X17" s="561" t="s">
        <v>4673</v>
      </c>
      <c r="Y17" s="561" t="s">
        <v>4546</v>
      </c>
    </row>
    <row r="18" spans="1:25">
      <c r="A18" s="49">
        <v>2</v>
      </c>
      <c r="B18" s="49" t="s">
        <v>3289</v>
      </c>
      <c r="D18" s="465" t="s">
        <v>4514</v>
      </c>
      <c r="E18" s="125" t="s">
        <v>3880</v>
      </c>
      <c r="F18" s="125" t="s">
        <v>4190</v>
      </c>
      <c r="G18" s="407" t="s">
        <v>4518</v>
      </c>
      <c r="H18" s="125" t="s">
        <v>3515</v>
      </c>
      <c r="I18" s="125" t="s">
        <v>3516</v>
      </c>
      <c r="J18" s="241" t="s">
        <v>3517</v>
      </c>
      <c r="K18" s="241" t="s">
        <v>3782</v>
      </c>
      <c r="L18" s="125" t="s">
        <v>3783</v>
      </c>
      <c r="M18" s="239" t="s">
        <v>418</v>
      </c>
      <c r="N18" s="125" t="s">
        <v>3784</v>
      </c>
      <c r="O18" s="125" t="s">
        <v>3918</v>
      </c>
      <c r="P18" s="125" t="s">
        <v>3785</v>
      </c>
      <c r="Q18" s="125" t="s">
        <v>3786</v>
      </c>
      <c r="R18" s="125" t="s">
        <v>3791</v>
      </c>
      <c r="S18" s="125" t="s">
        <v>3787</v>
      </c>
      <c r="T18" s="125" t="s">
        <v>3788</v>
      </c>
      <c r="U18" s="407" t="s">
        <v>419</v>
      </c>
      <c r="V18" s="248" t="s">
        <v>3789</v>
      </c>
      <c r="W18" s="247" t="s">
        <v>32</v>
      </c>
      <c r="X18" s="562" t="s">
        <v>4537</v>
      </c>
      <c r="Y18" s="561" t="s">
        <v>4547</v>
      </c>
    </row>
    <row r="19" spans="1:25">
      <c r="A19" s="49">
        <v>3</v>
      </c>
      <c r="B19" s="49" t="s">
        <v>3290</v>
      </c>
      <c r="D19" s="408" t="s">
        <v>4516</v>
      </c>
      <c r="E19" s="242" t="s">
        <v>3939</v>
      </c>
      <c r="F19" s="183" t="s">
        <v>3940</v>
      </c>
      <c r="G19" s="403" t="s">
        <v>4519</v>
      </c>
      <c r="H19" s="226" t="s">
        <v>3941</v>
      </c>
      <c r="I19" s="249" t="s">
        <v>3942</v>
      </c>
      <c r="J19" s="250" t="s">
        <v>3943</v>
      </c>
      <c r="K19" s="226" t="s">
        <v>3944</v>
      </c>
      <c r="L19" s="242" t="s">
        <v>3945</v>
      </c>
      <c r="M19" s="226" t="s">
        <v>2843</v>
      </c>
      <c r="N19" s="226" t="s">
        <v>4389</v>
      </c>
      <c r="O19" s="226" t="s">
        <v>3946</v>
      </c>
      <c r="P19" s="251" t="s">
        <v>3947</v>
      </c>
      <c r="Q19" s="243" t="s">
        <v>3948</v>
      </c>
      <c r="R19" s="251" t="s">
        <v>3949</v>
      </c>
      <c r="S19" s="226" t="s">
        <v>3950</v>
      </c>
      <c r="T19" s="226" t="s">
        <v>3951</v>
      </c>
      <c r="U19" s="403" t="s">
        <v>729</v>
      </c>
      <c r="V19" s="226" t="s">
        <v>731</v>
      </c>
      <c r="W19" s="226" t="s">
        <v>33</v>
      </c>
      <c r="X19" s="403" t="s">
        <v>4538</v>
      </c>
      <c r="Y19" s="403" t="s">
        <v>4548</v>
      </c>
    </row>
    <row r="20" spans="1:25">
      <c r="A20" s="49">
        <v>4</v>
      </c>
      <c r="B20" s="49" t="s">
        <v>3291</v>
      </c>
      <c r="D20" s="107"/>
      <c r="E20" s="223"/>
      <c r="F20" s="107"/>
      <c r="I20" s="59"/>
      <c r="J20" s="244"/>
      <c r="L20" s="223"/>
      <c r="P20" s="159"/>
      <c r="Q20" s="125"/>
      <c r="R20" s="159"/>
    </row>
    <row r="21" spans="1:25">
      <c r="A21" s="49">
        <v>5</v>
      </c>
      <c r="B21" s="49" t="s">
        <v>3292</v>
      </c>
      <c r="D21" s="408" t="s">
        <v>4515</v>
      </c>
      <c r="E21" s="242" t="s">
        <v>15</v>
      </c>
      <c r="F21" s="183" t="s">
        <v>2175</v>
      </c>
      <c r="G21" s="403" t="s">
        <v>4520</v>
      </c>
      <c r="H21" s="226" t="s">
        <v>16</v>
      </c>
      <c r="I21" s="249" t="s">
        <v>17</v>
      </c>
      <c r="J21" s="250" t="s">
        <v>18</v>
      </c>
      <c r="K21" s="226" t="s">
        <v>19</v>
      </c>
      <c r="L21" s="242" t="s">
        <v>4388</v>
      </c>
      <c r="M21" s="226" t="s">
        <v>2844</v>
      </c>
      <c r="N21" s="226" t="s">
        <v>4389</v>
      </c>
      <c r="O21" s="226" t="s">
        <v>4390</v>
      </c>
      <c r="P21" s="251" t="s">
        <v>4391</v>
      </c>
      <c r="Q21" s="243" t="s">
        <v>4392</v>
      </c>
      <c r="R21" s="251" t="s">
        <v>4393</v>
      </c>
      <c r="S21" s="226" t="s">
        <v>1904</v>
      </c>
      <c r="T21" s="226" t="s">
        <v>1905</v>
      </c>
      <c r="U21" s="403" t="s">
        <v>1906</v>
      </c>
      <c r="V21" s="226" t="s">
        <v>2777</v>
      </c>
      <c r="W21" s="226" t="s">
        <v>34</v>
      </c>
      <c r="X21" s="403" t="s">
        <v>4539</v>
      </c>
      <c r="Y21" s="403" t="s">
        <v>4549</v>
      </c>
    </row>
    <row r="22" spans="1:25" s="178" customFormat="1">
      <c r="A22" s="178">
        <v>6</v>
      </c>
      <c r="B22" s="178" t="s">
        <v>3204</v>
      </c>
      <c r="D22" s="107" t="s">
        <v>3205</v>
      </c>
      <c r="E22" s="223" t="s">
        <v>3206</v>
      </c>
      <c r="F22" s="107" t="s">
        <v>3207</v>
      </c>
      <c r="G22" s="107" t="s">
        <v>3208</v>
      </c>
      <c r="H22" s="223" t="s">
        <v>3822</v>
      </c>
      <c r="I22" s="223" t="s">
        <v>1</v>
      </c>
      <c r="J22" s="59" t="s">
        <v>1555</v>
      </c>
      <c r="K22" s="240" t="s">
        <v>1556</v>
      </c>
      <c r="L22" s="223" t="s">
        <v>3312</v>
      </c>
      <c r="M22" s="223" t="s">
        <v>933</v>
      </c>
      <c r="N22" s="107" t="s">
        <v>3916</v>
      </c>
      <c r="O22" s="107" t="s">
        <v>3918</v>
      </c>
      <c r="P22" s="223" t="s">
        <v>3255</v>
      </c>
      <c r="Q22" s="223" t="s">
        <v>934</v>
      </c>
      <c r="R22" s="223" t="s">
        <v>1557</v>
      </c>
      <c r="S22" s="159" t="s">
        <v>3209</v>
      </c>
      <c r="T22" s="125" t="s">
        <v>1558</v>
      </c>
      <c r="U22" s="245" t="s">
        <v>1559</v>
      </c>
      <c r="V22" s="252" t="s">
        <v>1560</v>
      </c>
      <c r="W22" s="247" t="s">
        <v>3929</v>
      </c>
      <c r="X22" s="561" t="s">
        <v>4536</v>
      </c>
      <c r="Y22" s="561" t="s">
        <v>4550</v>
      </c>
    </row>
    <row r="23" spans="1:25">
      <c r="D23" s="107"/>
      <c r="E23" s="223"/>
      <c r="F23" s="107"/>
      <c r="I23" s="59"/>
      <c r="J23" s="244"/>
      <c r="L23" s="223"/>
      <c r="P23" s="159"/>
      <c r="Q23" s="125"/>
      <c r="R23" s="159"/>
    </row>
    <row r="24" spans="1:25">
      <c r="D24" s="107"/>
      <c r="E24" s="223"/>
      <c r="F24" s="107"/>
      <c r="I24" s="59"/>
      <c r="J24" s="244"/>
      <c r="L24" s="223"/>
      <c r="P24" s="159"/>
      <c r="Q24" s="125"/>
      <c r="R24" s="159"/>
    </row>
    <row r="25" spans="1:25">
      <c r="D25" s="107"/>
      <c r="E25" s="223"/>
      <c r="F25" s="107"/>
      <c r="I25" s="59"/>
      <c r="J25" s="244"/>
      <c r="L25" s="223"/>
      <c r="P25" s="159"/>
      <c r="Q25" s="125"/>
      <c r="R25" s="159"/>
    </row>
    <row r="26" spans="1:25">
      <c r="D26" s="107"/>
      <c r="E26" s="223"/>
      <c r="F26" s="107"/>
      <c r="I26" s="59"/>
      <c r="J26" s="244"/>
      <c r="L26" s="223"/>
      <c r="P26" s="159"/>
      <c r="Q26" s="125"/>
      <c r="R26" s="159"/>
    </row>
    <row r="28" spans="1:25" s="190" customFormat="1">
      <c r="B28" s="190" t="s">
        <v>3287</v>
      </c>
      <c r="D28" s="190" t="str">
        <f>LOOKUP($A$1,'Lang Hull'!$A$3:$A$8,'Lang Hull'!D30:D35)</f>
        <v>Hull beam</v>
      </c>
      <c r="E28" s="190" t="str">
        <f>LOOKUP($A$1,'Lang Hull'!$A$3:$A$8,'Lang Hull'!E30:E35)</f>
        <v xml:space="preserve">Draft   </v>
      </c>
      <c r="F28" s="190" t="str">
        <f>LOOKUP($A$1,'Lang Hull'!$A$3:$A$8,'Lang Hull'!F30:F35)</f>
        <v>Min</v>
      </c>
      <c r="G28" s="190" t="str">
        <f>LOOKUP($A$1,'Lang Hull'!$A$3:$A$8,'Lang Hull'!G30:G35)</f>
        <v xml:space="preserve">*If drop/lifting keel/board fixed down,tick </v>
      </c>
      <c r="H28" s="190" t="str">
        <f>LOOKUP($A$1,'Lang Hull'!$A$3:$A$8,'Lang Hull'!H30:H35)</f>
        <v xml:space="preserve">Wing keel - Span - </v>
      </c>
      <c r="I28" s="190" t="str">
        <f>LOOKUP($A$1,'Lang Hull'!$A$3:$A$8,'Lang Hull'!I30:I35)</f>
        <v xml:space="preserve">Span - </v>
      </c>
      <c r="J28" s="190" t="str">
        <f>LOOKUP($A$1,'Lang Hull'!$A$3:$A$8,'Lang Hull'!J30:J35)</f>
        <v xml:space="preserve"> applies to wings / winglets only, not bulb keels</v>
      </c>
      <c r="K28" s="190" t="str">
        <f>LOOKUP($A$1,'Lang Hull'!$A$3:$A$8,'Lang Hull'!K30:K35)</f>
        <v>Keel fin material</v>
      </c>
      <c r="L28" s="190" t="str">
        <f>LOOKUP($A$1,'Lang Hull'!$A$3:$A$8,'Lang Hull'!L30:L35)</f>
        <v>see 'IRC keels' tab for surface fairing definition</v>
      </c>
      <c r="M28" s="190" t="str">
        <f>LOOKUP($A$1,'Lang Hull'!$A$3:$A$8,'Lang Hull'!M30:M35)</f>
        <v>Bulb/wing material</v>
      </c>
      <c r="N28" s="190" t="str">
        <f>LOOKUP($A$1,'Lang Hull'!$A$3:$A$8,'Lang Hull'!N30:N35)</f>
        <v>Bulb Weight</v>
      </c>
      <c r="O28" s="190" t="str">
        <f>LOOKUP($A$1,'Lang Hull'!$A$3:$A$8,'Lang Hull'!O30:O35)</f>
        <v>kg. NOT keel weight</v>
      </c>
      <c r="P28" s="190" t="str">
        <f>LOOKUP($A$1,'Lang Hull'!$A$3:$A$8,'Lang Hull'!P30:P35)</f>
        <v>If 'other' give details:</v>
      </c>
      <c r="Q28" s="190" t="str">
        <f>LOOKUP($A$1,'Lang Hull'!$A$3:$A$8,'Lang Hull'!Q30:Q35)</f>
        <v>Is the yacht fitted with water/variable ballast?</v>
      </c>
      <c r="R28" s="190" t="str">
        <f>LOOKUP($A$1,'Lang Hull'!$A$3:$A$8,'Lang Hull'!R30:R35)</f>
        <v>Max kg water per side</v>
      </c>
      <c r="S28" s="190" t="str">
        <f>LOOKUP($A$1,'Lang Hull'!$A$3:$A$8,'Lang Hull'!S30:S35)</f>
        <v>Is a mechanical water pump fitted in addition to a hand pump (for transfer of water ballast) ?</v>
      </c>
      <c r="T28" s="190" t="str">
        <f>LOOKUP($A$1,'Lang Hull'!$A$3:$A$8,'Lang Hull'!T30:T35)</f>
        <v>Canting/moveable ballast, max List Angle with ballast fully to one side. Note do NOT supply for water ballast.</v>
      </c>
      <c r="U28" s="190" t="str">
        <f>LOOKUP($A$1,'Lang Hull'!$A$3:$A$8,'Lang Hull'!U30:U35)</f>
        <v>Note do NOT supply for water ballast.</v>
      </c>
      <c r="V28" s="190" t="str">
        <f>LOOKUP($A$1,'Lang Hull'!$A$3:$A$8,'Lang Hull'!V30:V35)</f>
        <v>(degrees)</v>
      </c>
      <c r="W28" s="190" t="str">
        <f>LOOKUP($A$1,'Lang Hull'!$A$3:$A$8,'Lang Hull'!W30:W35)</f>
        <v>Beam</v>
      </c>
      <c r="X28" s="473" t="str">
        <f>LOOKUP($A$1,'Lang Hull'!$A$3:$A$8,'Lang Hull'!X30:X35)</f>
        <v>Material in keel fin (IRC Rule 19.6)</v>
      </c>
      <c r="Y28" s="473" t="str">
        <f>LOOKUP($A$1,'Lang Hull'!$A$3:$A$8,'Lang Hull'!Y30:Y35)</f>
        <v>New for 2017. Rule 19.6 Any material in the keel fin of a keel type 10, 11 or 12 with a specific gravity greater than 8.0 (eg. lead) shall be declared in writing.</v>
      </c>
    </row>
    <row r="30" spans="1:25">
      <c r="A30" s="49">
        <v>1</v>
      </c>
      <c r="B30" s="49" t="s">
        <v>3288</v>
      </c>
      <c r="D30" s="223" t="s">
        <v>3313</v>
      </c>
      <c r="E30" s="223" t="s">
        <v>2323</v>
      </c>
      <c r="F30" s="402" t="s">
        <v>4522</v>
      </c>
      <c r="G30" s="107" t="s">
        <v>937</v>
      </c>
      <c r="H30" s="223" t="s">
        <v>2779</v>
      </c>
      <c r="I30" s="253" t="s">
        <v>2778</v>
      </c>
      <c r="J30" s="223" t="s">
        <v>1564</v>
      </c>
      <c r="K30" s="532" t="s">
        <v>4668</v>
      </c>
      <c r="L30" s="465" t="s">
        <v>4663</v>
      </c>
      <c r="M30" s="159" t="s">
        <v>2321</v>
      </c>
      <c r="N30" s="465" t="s">
        <v>1595</v>
      </c>
      <c r="O30" s="179" t="s">
        <v>4447</v>
      </c>
      <c r="P30" s="465" t="s">
        <v>4530</v>
      </c>
      <c r="Q30" s="532" t="s">
        <v>4696</v>
      </c>
      <c r="R30" s="159" t="s">
        <v>35</v>
      </c>
      <c r="S30" s="159" t="s">
        <v>383</v>
      </c>
      <c r="T30" s="466" t="s">
        <v>4563</v>
      </c>
      <c r="U30" s="223" t="s">
        <v>1969</v>
      </c>
      <c r="V30" s="223" t="s">
        <v>384</v>
      </c>
      <c r="W30" s="223" t="s">
        <v>3922</v>
      </c>
      <c r="X30" s="466" t="s">
        <v>4558</v>
      </c>
      <c r="Y30" s="179" t="s">
        <v>4475</v>
      </c>
    </row>
    <row r="31" spans="1:25">
      <c r="A31" s="49">
        <v>2</v>
      </c>
      <c r="B31" s="49" t="s">
        <v>3289</v>
      </c>
      <c r="D31" s="125" t="s">
        <v>2171</v>
      </c>
      <c r="E31" s="239" t="s">
        <v>420</v>
      </c>
      <c r="F31" s="402" t="s">
        <v>4522</v>
      </c>
      <c r="G31" s="125" t="s">
        <v>1915</v>
      </c>
      <c r="H31" s="125" t="s">
        <v>2780</v>
      </c>
      <c r="I31" s="125" t="s">
        <v>3881</v>
      </c>
      <c r="J31" s="239" t="s">
        <v>421</v>
      </c>
      <c r="K31" s="465" t="s">
        <v>4669</v>
      </c>
      <c r="L31" s="407" t="s">
        <v>4664</v>
      </c>
      <c r="M31" s="125" t="s">
        <v>1916</v>
      </c>
      <c r="N31" s="125" t="s">
        <v>1917</v>
      </c>
      <c r="O31" s="407" t="s">
        <v>4448</v>
      </c>
      <c r="P31" s="465" t="s">
        <v>4531</v>
      </c>
      <c r="Q31" s="125" t="s">
        <v>3882</v>
      </c>
      <c r="R31" s="125" t="s">
        <v>4301</v>
      </c>
      <c r="S31" s="125" t="s">
        <v>4302</v>
      </c>
      <c r="T31" s="125" t="s">
        <v>2506</v>
      </c>
      <c r="U31" s="125" t="s">
        <v>3310</v>
      </c>
      <c r="V31" s="125" t="s">
        <v>4300</v>
      </c>
      <c r="W31" s="49" t="s">
        <v>2190</v>
      </c>
      <c r="X31" s="465" t="s">
        <v>4559</v>
      </c>
      <c r="Y31" s="465" t="s">
        <v>4476</v>
      </c>
    </row>
    <row r="32" spans="1:25">
      <c r="A32" s="49">
        <v>3</v>
      </c>
      <c r="B32" s="49" t="s">
        <v>3290</v>
      </c>
      <c r="D32" s="242" t="s">
        <v>732</v>
      </c>
      <c r="E32" s="242" t="s">
        <v>733</v>
      </c>
      <c r="F32" s="402" t="s">
        <v>4522</v>
      </c>
      <c r="G32" s="183" t="s">
        <v>734</v>
      </c>
      <c r="H32" s="242" t="s">
        <v>2781</v>
      </c>
      <c r="I32" s="254" t="s">
        <v>735</v>
      </c>
      <c r="J32" s="251" t="s">
        <v>736</v>
      </c>
      <c r="K32" s="243" t="s">
        <v>4028</v>
      </c>
      <c r="L32" s="560" t="s">
        <v>4665</v>
      </c>
      <c r="M32" s="243" t="s">
        <v>4033</v>
      </c>
      <c r="N32" s="226" t="s">
        <v>1913</v>
      </c>
      <c r="O32" s="464" t="s">
        <v>4449</v>
      </c>
      <c r="P32" s="560" t="s">
        <v>4533</v>
      </c>
      <c r="Q32" s="251" t="s">
        <v>2164</v>
      </c>
      <c r="R32" s="251" t="s">
        <v>1135</v>
      </c>
      <c r="S32" s="242" t="s">
        <v>2165</v>
      </c>
      <c r="T32" s="242" t="s">
        <v>2508</v>
      </c>
      <c r="U32" s="242" t="s">
        <v>2507</v>
      </c>
      <c r="V32" s="226" t="s">
        <v>2166</v>
      </c>
      <c r="W32" s="178" t="s">
        <v>2191</v>
      </c>
      <c r="X32" s="403" t="s">
        <v>4560</v>
      </c>
      <c r="Y32" s="403" t="s">
        <v>4477</v>
      </c>
    </row>
    <row r="33" spans="1:25">
      <c r="A33" s="49">
        <v>4</v>
      </c>
      <c r="B33" s="49" t="s">
        <v>3291</v>
      </c>
      <c r="D33" s="223"/>
      <c r="E33" s="223"/>
      <c r="F33" s="402" t="s">
        <v>4522</v>
      </c>
      <c r="G33" s="107"/>
      <c r="H33" s="223"/>
      <c r="I33" s="253"/>
      <c r="J33" s="159"/>
      <c r="K33" s="125"/>
      <c r="L33" s="159"/>
      <c r="M33" s="125"/>
      <c r="O33" s="125"/>
      <c r="P33" s="159"/>
      <c r="Q33" s="159"/>
      <c r="R33" s="159"/>
      <c r="S33" s="223"/>
      <c r="T33" s="223"/>
      <c r="U33" s="223"/>
    </row>
    <row r="34" spans="1:25">
      <c r="A34" s="49">
        <v>5</v>
      </c>
      <c r="B34" s="49" t="s">
        <v>3292</v>
      </c>
      <c r="D34" s="242" t="s">
        <v>1907</v>
      </c>
      <c r="E34" s="242" t="s">
        <v>1908</v>
      </c>
      <c r="F34" s="402" t="s">
        <v>4522</v>
      </c>
      <c r="G34" s="183" t="s">
        <v>1909</v>
      </c>
      <c r="H34" s="242" t="s">
        <v>2782</v>
      </c>
      <c r="I34" s="254" t="s">
        <v>1910</v>
      </c>
      <c r="J34" s="251" t="s">
        <v>1911</v>
      </c>
      <c r="K34" s="464" t="s">
        <v>4670</v>
      </c>
      <c r="L34" s="560" t="s">
        <v>4666</v>
      </c>
      <c r="M34" s="243" t="s">
        <v>1912</v>
      </c>
      <c r="N34" s="226" t="s">
        <v>1913</v>
      </c>
      <c r="O34" s="464" t="s">
        <v>4450</v>
      </c>
      <c r="P34" s="560" t="s">
        <v>4532</v>
      </c>
      <c r="Q34" s="251" t="s">
        <v>1914</v>
      </c>
      <c r="R34" s="251" t="s">
        <v>1967</v>
      </c>
      <c r="S34" s="242" t="s">
        <v>2754</v>
      </c>
      <c r="T34" s="563" t="s">
        <v>2776</v>
      </c>
      <c r="U34" s="242" t="s">
        <v>4373</v>
      </c>
      <c r="V34" s="226" t="s">
        <v>2755</v>
      </c>
      <c r="W34" s="178" t="s">
        <v>2192</v>
      </c>
      <c r="X34" s="403" t="s">
        <v>4561</v>
      </c>
      <c r="Y34" s="403" t="s">
        <v>4478</v>
      </c>
    </row>
    <row r="35" spans="1:25" s="178" customFormat="1" ht="14.25">
      <c r="A35" s="178">
        <v>6</v>
      </c>
      <c r="B35" s="178" t="s">
        <v>3204</v>
      </c>
      <c r="D35" s="223" t="s">
        <v>3313</v>
      </c>
      <c r="E35" s="223" t="s">
        <v>2323</v>
      </c>
      <c r="F35" s="402" t="s">
        <v>4522</v>
      </c>
      <c r="G35" s="107" t="s">
        <v>1561</v>
      </c>
      <c r="H35" s="223" t="s">
        <v>2779</v>
      </c>
      <c r="I35" s="253" t="s">
        <v>2778</v>
      </c>
      <c r="J35" s="223" t="s">
        <v>1562</v>
      </c>
      <c r="K35" s="532" t="s">
        <v>4668</v>
      </c>
      <c r="L35" s="465" t="s">
        <v>4667</v>
      </c>
      <c r="M35" s="159" t="s">
        <v>2321</v>
      </c>
      <c r="N35" s="465" t="s">
        <v>1595</v>
      </c>
      <c r="O35" s="223" t="s">
        <v>3210</v>
      </c>
      <c r="P35" s="255" t="s">
        <v>1563</v>
      </c>
      <c r="Q35" s="178" t="s">
        <v>3211</v>
      </c>
      <c r="R35" s="159" t="s">
        <v>935</v>
      </c>
      <c r="S35" s="159" t="s">
        <v>3212</v>
      </c>
      <c r="T35" s="223" t="s">
        <v>3213</v>
      </c>
      <c r="U35" s="178" t="s">
        <v>3214</v>
      </c>
      <c r="V35" s="223" t="s">
        <v>384</v>
      </c>
      <c r="W35" s="223" t="s">
        <v>3922</v>
      </c>
      <c r="X35" s="476" t="s">
        <v>4562</v>
      </c>
      <c r="Y35" s="477" t="s">
        <v>4460</v>
      </c>
    </row>
    <row r="36" spans="1:25">
      <c r="D36" s="223"/>
      <c r="E36" s="223"/>
      <c r="F36" s="107"/>
      <c r="G36" s="107"/>
      <c r="H36" s="223"/>
      <c r="I36" s="253"/>
      <c r="J36" s="159"/>
      <c r="K36" s="125"/>
      <c r="L36" s="159"/>
      <c r="M36" s="125"/>
      <c r="O36" s="125"/>
      <c r="P36" s="159"/>
      <c r="Q36" s="159"/>
      <c r="R36" s="159"/>
      <c r="S36" s="223"/>
      <c r="T36" s="223"/>
      <c r="U36" s="223"/>
    </row>
    <row r="37" spans="1:25">
      <c r="D37" s="223"/>
      <c r="E37" s="223"/>
      <c r="F37" s="107"/>
      <c r="G37" s="107"/>
      <c r="H37" s="223"/>
      <c r="I37" s="253"/>
      <c r="J37" s="159"/>
      <c r="K37" s="125"/>
      <c r="L37" s="159"/>
      <c r="M37" s="125"/>
      <c r="O37" s="125"/>
      <c r="P37" s="159"/>
      <c r="Q37" s="159"/>
      <c r="R37" s="159"/>
      <c r="S37" s="223"/>
      <c r="T37" s="223"/>
      <c r="U37" s="223"/>
    </row>
    <row r="38" spans="1:25" s="190" customFormat="1">
      <c r="B38" s="190" t="s">
        <v>3287</v>
      </c>
      <c r="D38" s="190" t="str">
        <f>LOOKUP($A$1,'Lang Hull'!$A$3:$A$8,'Lang Hull'!D40:D45)</f>
        <v>Ensure you have selected Canting Keel in keel configuration above</v>
      </c>
      <c r="E38" s="190" t="str">
        <f>LOOKUP($A$1,'Lang Hull'!$A$3:$A$8,'Lang Hull'!E40:E45)</f>
        <v>Link to standard hull list on ircrating.org</v>
      </c>
      <c r="F38" s="190" t="str">
        <f>LOOKUP($A$1,'Lang Hull'!$A$3:$A$8,'Lang Hull'!F40:F45)</f>
        <v>Select keel shape number (ignore a, b etc.)</v>
      </c>
      <c r="G38" s="190" t="str">
        <f>LOOKUP($A$1,'Lang Hull'!$A$3:$A$8,'Lang Hull'!G40:G45)</f>
        <v>nb. Most modern production boats are fair form</v>
      </c>
      <c r="H38" s="190" t="str">
        <f>LOOKUP($A$1,'Lang Hull'!$A$3:$A$8,'Lang Hull'!H40:H45)</f>
        <v>HULL and APPENDAGES</v>
      </c>
      <c r="I38" s="190" t="str">
        <f>LOOKUP($A$1,'Lang Hull'!$A$3:$A$8,'Lang Hull'!I40:I45)</f>
        <v>Production boats with standard hull data: Please confirm keel configuration, keel type and draft measurements to ensure we use the right version</v>
      </c>
      <c r="J38" s="190" t="str">
        <f>LOOKUP($A$1,'Lang Hull'!$A$3:$A$8,'Lang Hull'!J40:J45)</f>
        <v>* Remember that if you have a strict one-design you may be able to use the simplified OD form *</v>
      </c>
      <c r="K38" s="190" t="str">
        <f>LOOKUP($A$1,'Lang Hull'!$A$3:$A$8,'Lang Hull'!K40:K45)</f>
        <v>Please check the lists below to see if standard hull data is available:</v>
      </c>
      <c r="L38" s="190" t="str">
        <f>LOOKUP($A$1,'Lang Hull'!$A$3:$A$8,'Lang Hull'!L40:L45)</f>
        <v>*See below re production standard hull data</v>
      </c>
      <c r="M38" s="190" t="str">
        <f>LOOKUP($A$1,'Lang Hull'!$A$3:$A$8,'Lang Hull'!M40:M45)</f>
        <v>If your design is not included but you think it should be, please contact your Rule Authority</v>
      </c>
      <c r="N38" s="190" t="str">
        <f>LOOKUP($A$1,'Lang Hull'!$A$3:$A$8,'Lang Hull'!N40:N45)</f>
        <v>Select Builder/Designer, first click in box below:</v>
      </c>
      <c r="O38" s="190" t="str">
        <f>LOOKUP($A$1,'Lang Hull'!$A$3:$A$8,'Lang Hull'!O40:O45)</f>
        <v>Now select boat model/draft, first click in box below:</v>
      </c>
      <c r="P38" s="190" t="str">
        <f>LOOKUP($A$1,'Lang Hull'!$A$3:$A$8,'Lang Hull'!P40:P45)</f>
        <v>If the design is included: Would you like us to use STANDARD HULL DATA for your rating?</v>
      </c>
      <c r="Q38" s="190" t="str">
        <f>LOOKUP($A$1,'Lang Hull'!$A$3:$A$8,'Lang Hull'!Q40:Q45)</f>
        <v>If YES: You do not need to complete the cells shaded grey below. Please give all other information.</v>
      </c>
      <c r="R38" s="190" t="str">
        <f>LOOKUP($A$1,'Lang Hull'!$A$3:$A$8,'Lang Hull'!R40:R45)</f>
        <v>If NO: Please complete the form as normal. If you want standard data used for some hull measurements, please state "use standard" in the relevant 'Source of Information' box</v>
      </c>
      <c r="S38" s="190" t="str">
        <f>LOOKUP($A$1,'Lang Hull'!$A$3:$A$8,'Lang Hull'!S40:S45)</f>
        <v>Production Boats</v>
      </c>
      <c r="T38" s="190" t="str">
        <f>LOOKUP($A$1,'Lang Hull'!$A$3:$A$8,'Lang Hull'!T40:T45)</f>
        <v>Click here and use arrow on right</v>
      </c>
      <c r="U38" s="190" t="str">
        <f>LOOKUP($A$1,'Lang Hull'!$A$3:$A$8,'Lang Hull'!U40:U45)</f>
        <v>Water/variable ballast</v>
      </c>
      <c r="V38" s="190" t="str">
        <f>LOOKUP($A$1,'Lang Hull'!$A$3:$A$8,'Lang Hull'!V40:V45)</f>
        <v>Canting/movable ballast</v>
      </c>
      <c r="W38" s="190" t="str">
        <f>LOOKUP($A$1,'Lang Hull'!$A$3:$A$8,'Lang Hull'!W40:W45)</f>
        <v>Foils that create lift</v>
      </c>
      <c r="X38" s="190" t="str">
        <f>LOOKUP($A$1,'Lang Hull'!$A$3:$A$8,'Lang Hull'!X40:X45)</f>
        <v>Is the boat fitted with foils that create lift?</v>
      </c>
      <c r="Y38" s="190" t="str">
        <f>LOOKUP($A$1,'Lang Hull'!$A$3:$A$8,'Lang Hull'!Y40:Y45)</f>
        <v>If yes, the Rating Authority will contact you for more information and measurements</v>
      </c>
    </row>
    <row r="39" spans="1:25">
      <c r="D39" s="223"/>
      <c r="E39" s="223"/>
      <c r="F39" s="107"/>
      <c r="G39" s="107"/>
      <c r="H39" s="223"/>
      <c r="I39" s="253"/>
      <c r="J39" s="159"/>
      <c r="K39" s="125"/>
      <c r="L39" s="159"/>
      <c r="M39" s="125"/>
      <c r="O39" s="125"/>
      <c r="P39" s="159"/>
      <c r="Q39" s="159"/>
      <c r="R39" s="159"/>
      <c r="S39" s="223"/>
      <c r="T39" s="223"/>
      <c r="U39" s="223"/>
    </row>
    <row r="40" spans="1:25" ht="15.75">
      <c r="A40" s="49">
        <v>1</v>
      </c>
      <c r="B40" s="49" t="s">
        <v>3288</v>
      </c>
      <c r="D40" s="178" t="s">
        <v>3870</v>
      </c>
      <c r="E40" s="275" t="s">
        <v>4200</v>
      </c>
      <c r="F40" s="179" t="s">
        <v>4671</v>
      </c>
      <c r="G40" s="179" t="s">
        <v>4526</v>
      </c>
      <c r="H40" s="49" t="s">
        <v>861</v>
      </c>
      <c r="I40" s="49" t="s">
        <v>382</v>
      </c>
      <c r="J40" s="49" t="s">
        <v>3319</v>
      </c>
      <c r="K40" s="49" t="s">
        <v>2256</v>
      </c>
      <c r="L40" s="49" t="s">
        <v>2350</v>
      </c>
      <c r="M40" s="49" t="s">
        <v>3389</v>
      </c>
      <c r="N40" s="179" t="s">
        <v>4499</v>
      </c>
      <c r="O40" s="179" t="s">
        <v>2355</v>
      </c>
      <c r="P40" s="49" t="s">
        <v>2255</v>
      </c>
      <c r="Q40" s="49" t="s">
        <v>3183</v>
      </c>
      <c r="R40" s="49" t="s">
        <v>2349</v>
      </c>
      <c r="S40" s="49" t="s">
        <v>680</v>
      </c>
      <c r="T40" s="49" t="s">
        <v>1492</v>
      </c>
      <c r="U40" s="179" t="s">
        <v>4551</v>
      </c>
      <c r="V40" s="179" t="s">
        <v>4540</v>
      </c>
      <c r="W40" s="179" t="s">
        <v>4689</v>
      </c>
      <c r="X40" s="179" t="s">
        <v>4690</v>
      </c>
      <c r="Y40" s="179" t="s">
        <v>4693</v>
      </c>
    </row>
    <row r="41" spans="1:25">
      <c r="A41" s="49">
        <v>2</v>
      </c>
      <c r="B41" s="49" t="s">
        <v>3289</v>
      </c>
      <c r="D41" s="49" t="s">
        <v>890</v>
      </c>
      <c r="F41" s="2" t="s">
        <v>1921</v>
      </c>
      <c r="G41" s="544" t="s">
        <v>4527</v>
      </c>
      <c r="H41" s="2" t="s">
        <v>1924</v>
      </c>
      <c r="I41" s="2" t="s">
        <v>1925</v>
      </c>
      <c r="J41" s="2" t="s">
        <v>3571</v>
      </c>
      <c r="K41" s="2" t="s">
        <v>1928</v>
      </c>
      <c r="M41" s="2" t="s">
        <v>198</v>
      </c>
      <c r="N41" s="544" t="s">
        <v>4500</v>
      </c>
      <c r="O41" s="544" t="s">
        <v>1929</v>
      </c>
      <c r="P41" s="2" t="s">
        <v>1931</v>
      </c>
      <c r="Q41" s="2" t="s">
        <v>1932</v>
      </c>
      <c r="R41" s="2" t="s">
        <v>1933</v>
      </c>
      <c r="S41" s="304" t="s">
        <v>680</v>
      </c>
      <c r="T41" s="2" t="s">
        <v>1930</v>
      </c>
      <c r="U41" s="179" t="s">
        <v>4552</v>
      </c>
      <c r="V41" s="179" t="s">
        <v>4541</v>
      </c>
      <c r="W41" s="179" t="s">
        <v>4780</v>
      </c>
      <c r="X41" s="179" t="s">
        <v>4785</v>
      </c>
      <c r="Y41" s="179" t="s">
        <v>4737</v>
      </c>
    </row>
    <row r="42" spans="1:25">
      <c r="A42" s="49">
        <v>3</v>
      </c>
      <c r="B42" s="49" t="s">
        <v>3290</v>
      </c>
      <c r="D42" s="49" t="s">
        <v>120</v>
      </c>
      <c r="F42" s="2" t="s">
        <v>1937</v>
      </c>
      <c r="G42" s="544" t="s">
        <v>4528</v>
      </c>
      <c r="H42" s="2" t="s">
        <v>1939</v>
      </c>
      <c r="I42" s="2" t="s">
        <v>3020</v>
      </c>
      <c r="J42" s="2" t="s">
        <v>3570</v>
      </c>
      <c r="K42" s="2" t="s">
        <v>1129</v>
      </c>
      <c r="M42" s="2" t="s">
        <v>199</v>
      </c>
      <c r="N42" s="544" t="s">
        <v>4501</v>
      </c>
      <c r="O42" s="544" t="s">
        <v>1130</v>
      </c>
      <c r="P42" s="2" t="s">
        <v>3563</v>
      </c>
      <c r="Q42" s="2" t="s">
        <v>3564</v>
      </c>
      <c r="R42" s="2" t="s">
        <v>3565</v>
      </c>
      <c r="S42" s="304" t="s">
        <v>680</v>
      </c>
      <c r="T42" s="2" t="s">
        <v>3562</v>
      </c>
      <c r="U42" s="179" t="s">
        <v>4553</v>
      </c>
      <c r="V42" s="179" t="s">
        <v>4542</v>
      </c>
      <c r="W42" s="179" t="s">
        <v>4781</v>
      </c>
      <c r="X42" s="179" t="s">
        <v>4784</v>
      </c>
      <c r="Y42" s="179" t="s">
        <v>4738</v>
      </c>
    </row>
    <row r="43" spans="1:25">
      <c r="A43" s="49">
        <v>4</v>
      </c>
      <c r="B43" s="49" t="s">
        <v>3291</v>
      </c>
      <c r="J43" s="304"/>
      <c r="K43" s="304"/>
      <c r="L43" s="304"/>
      <c r="M43" s="304"/>
      <c r="N43" s="304"/>
      <c r="O43" s="304"/>
      <c r="P43" s="304"/>
      <c r="Q43" s="304"/>
      <c r="R43" s="304"/>
      <c r="S43" s="304"/>
      <c r="T43" s="304"/>
      <c r="U43" s="179"/>
      <c r="V43" s="179"/>
      <c r="W43" s="179"/>
      <c r="X43" s="179"/>
      <c r="Y43" s="179"/>
    </row>
    <row r="44" spans="1:25">
      <c r="A44" s="49">
        <v>5</v>
      </c>
      <c r="B44" s="49" t="s">
        <v>3292</v>
      </c>
      <c r="D44" s="49" t="s">
        <v>121</v>
      </c>
      <c r="F44" s="2" t="s">
        <v>41</v>
      </c>
      <c r="G44" s="544" t="s">
        <v>4529</v>
      </c>
      <c r="H44" s="2" t="s">
        <v>44</v>
      </c>
      <c r="I44" s="378" t="s">
        <v>45</v>
      </c>
      <c r="J44" s="378" t="s">
        <v>48</v>
      </c>
      <c r="K44" s="378" t="s">
        <v>49</v>
      </c>
      <c r="M44" s="378" t="s">
        <v>200</v>
      </c>
      <c r="N44" s="378" t="s">
        <v>4502</v>
      </c>
      <c r="O44" s="378" t="s">
        <v>50</v>
      </c>
      <c r="P44" s="378" t="s">
        <v>52</v>
      </c>
      <c r="Q44" s="378" t="s">
        <v>53</v>
      </c>
      <c r="R44" s="378" t="s">
        <v>54</v>
      </c>
      <c r="S44" s="304" t="s">
        <v>680</v>
      </c>
      <c r="T44" s="378" t="s">
        <v>51</v>
      </c>
      <c r="U44" s="179" t="s">
        <v>4554</v>
      </c>
      <c r="V44" s="179" t="s">
        <v>4543</v>
      </c>
      <c r="W44" s="420" t="s">
        <v>4689</v>
      </c>
      <c r="X44" s="420" t="s">
        <v>4690</v>
      </c>
      <c r="Y44" s="420" t="s">
        <v>4693</v>
      </c>
    </row>
    <row r="45" spans="1:25">
      <c r="A45" s="178">
        <v>6</v>
      </c>
      <c r="B45" s="178" t="s">
        <v>3204</v>
      </c>
      <c r="D45" s="49" t="s">
        <v>3871</v>
      </c>
      <c r="F45" s="49" t="s">
        <v>918</v>
      </c>
      <c r="G45" s="49" t="s">
        <v>919</v>
      </c>
      <c r="H45" s="49" t="s">
        <v>861</v>
      </c>
      <c r="I45" s="49" t="s">
        <v>922</v>
      </c>
      <c r="J45" s="391" t="s">
        <v>1945</v>
      </c>
      <c r="K45" s="391" t="s">
        <v>1946</v>
      </c>
      <c r="L45" s="390" t="s">
        <v>1947</v>
      </c>
      <c r="M45" s="49" t="s">
        <v>3389</v>
      </c>
      <c r="N45" s="391" t="s">
        <v>4503</v>
      </c>
      <c r="O45" s="391" t="s">
        <v>1948</v>
      </c>
      <c r="P45" s="391" t="s">
        <v>1949</v>
      </c>
      <c r="Q45" s="391" t="s">
        <v>1950</v>
      </c>
      <c r="R45" s="391" t="s">
        <v>1951</v>
      </c>
      <c r="S45" s="49" t="s">
        <v>680</v>
      </c>
      <c r="T45" s="413" t="s">
        <v>575</v>
      </c>
      <c r="U45" s="304" t="s">
        <v>4551</v>
      </c>
      <c r="V45" s="420" t="s">
        <v>4540</v>
      </c>
      <c r="W45" s="179" t="s">
        <v>4782</v>
      </c>
      <c r="X45" s="179" t="s">
        <v>4783</v>
      </c>
      <c r="Y45" s="179" t="s">
        <v>4693</v>
      </c>
    </row>
    <row r="48" spans="1:25">
      <c r="A48" s="190"/>
      <c r="B48" s="190" t="s">
        <v>3287</v>
      </c>
      <c r="C48" s="190"/>
      <c r="D48" s="190" t="str">
        <f>LOOKUP($A$1,'Lang Hull'!$A$3:$A$8,'Lang Hull'!D50:D55)</f>
        <v>If keel is not fixed down</v>
      </c>
      <c r="E48" s="190" t="str">
        <f>LOOKUP($A$1,'Lang Hull'!$A$3:$A$8,'Lang Hull'!E50:E55)</f>
        <v>Does the boat have a canting keel?</v>
      </c>
      <c r="F48" s="190" t="str">
        <f>LOOKUP($A$1,'Lang Hull'!$A$3:$A$8,'Lang Hull'!F50:F55)</f>
        <v>If the boat has ANY of the following or other unusual features not covered by this form, you must complete PART 2 of this application</v>
      </c>
      <c r="G48" s="190" t="str">
        <f>LOOKUP($A$1,'Lang Hull'!$A$3:$A$8,'Lang Hull'!G50:G55)</f>
        <v>If the boat has topside hull hollows or any unusual features, see PART 2</v>
      </c>
      <c r="H48" s="190" t="str">
        <f>LOOKUP($A$1,'Lang Hull'!$A$3:$A$8,'Lang Hull'!H50:H55)</f>
        <v>The Rating Authority may request photographs or more information</v>
      </c>
      <c r="I48" s="190" t="str">
        <f>LOOKUP($A$1,'Lang Hull'!$A$3:$A$8,'Lang Hull'!I50:I55)</f>
        <v>Fore/aft variable ballast</v>
      </c>
      <c r="J48" s="190" t="str">
        <f>LOOKUP($A$1,'Lang Hull'!$A$3:$A$8,'Lang Hull'!J50:J55)</f>
        <v>STANDARD HULL DATA: You do not need to complete the cells shaded grey Below</v>
      </c>
      <c r="K48" s="190" t="str">
        <f>LOOKUP($A$1,'Lang Hull'!$A$3:$A$8,'Lang Hull'!K50:K55)</f>
        <v>NOT Standard Hull: Please complete Hull data</v>
      </c>
      <c r="L48" s="678" t="str">
        <f>LOOKUP($A$1,'Lang Hull'!$A$3:$A$8,'Lang Hull'!L50:L55)</f>
        <v>If applicable</v>
      </c>
    </row>
    <row r="49" spans="1:12">
      <c r="D49" s="223"/>
    </row>
    <row r="50" spans="1:12">
      <c r="A50" s="49">
        <v>1</v>
      </c>
      <c r="B50" s="49" t="s">
        <v>3288</v>
      </c>
      <c r="D50" s="551" t="s">
        <v>4521</v>
      </c>
      <c r="E50" s="179" t="s">
        <v>4523</v>
      </c>
      <c r="F50" s="179" t="s">
        <v>4544</v>
      </c>
      <c r="G50" s="179" t="s">
        <v>4534</v>
      </c>
      <c r="H50" s="179" t="s">
        <v>4672</v>
      </c>
      <c r="I50" s="179" t="s">
        <v>4695</v>
      </c>
      <c r="J50" s="179" t="s">
        <v>4717</v>
      </c>
      <c r="K50" s="179" t="s">
        <v>4720</v>
      </c>
      <c r="L50" s="179" t="s">
        <v>4725</v>
      </c>
    </row>
    <row r="51" spans="1:12">
      <c r="A51" s="49">
        <v>2</v>
      </c>
      <c r="B51" s="49" t="s">
        <v>3289</v>
      </c>
      <c r="D51" s="564" t="s">
        <v>4723</v>
      </c>
      <c r="E51" s="179" t="s">
        <v>4741</v>
      </c>
      <c r="F51" s="680" t="s">
        <v>4743</v>
      </c>
      <c r="G51" s="420" t="s">
        <v>4534</v>
      </c>
      <c r="H51" s="179" t="s">
        <v>4777</v>
      </c>
      <c r="I51" s="179" t="s">
        <v>4786</v>
      </c>
      <c r="J51" s="179" t="s">
        <v>4718</v>
      </c>
      <c r="K51" s="179" t="s">
        <v>4721</v>
      </c>
      <c r="L51" s="179" t="s">
        <v>4726</v>
      </c>
    </row>
    <row r="52" spans="1:12">
      <c r="A52" s="49">
        <v>3</v>
      </c>
      <c r="B52" s="49" t="s">
        <v>3290</v>
      </c>
      <c r="D52" s="564" t="s">
        <v>4724</v>
      </c>
      <c r="E52" s="179" t="s">
        <v>4742</v>
      </c>
      <c r="F52" s="681" t="s">
        <v>4744</v>
      </c>
      <c r="G52" s="420" t="s">
        <v>4534</v>
      </c>
      <c r="H52" s="179" t="s">
        <v>4778</v>
      </c>
      <c r="I52" s="179" t="s">
        <v>4787</v>
      </c>
      <c r="J52" s="179" t="s">
        <v>4719</v>
      </c>
      <c r="K52" s="179" t="s">
        <v>4722</v>
      </c>
      <c r="L52" s="179" t="s">
        <v>4727</v>
      </c>
    </row>
    <row r="53" spans="1:12">
      <c r="A53" s="49">
        <v>4</v>
      </c>
      <c r="B53" s="49" t="s">
        <v>3291</v>
      </c>
      <c r="D53" s="564"/>
      <c r="E53" s="420"/>
      <c r="F53" s="420"/>
      <c r="G53" s="420"/>
      <c r="H53" s="420"/>
      <c r="I53" s="179"/>
    </row>
    <row r="54" spans="1:12">
      <c r="A54" s="49">
        <v>5</v>
      </c>
      <c r="B54" s="49" t="s">
        <v>3292</v>
      </c>
      <c r="D54" s="564" t="s">
        <v>4521</v>
      </c>
      <c r="E54" s="420" t="s">
        <v>4523</v>
      </c>
      <c r="F54" s="420" t="s">
        <v>4544</v>
      </c>
      <c r="G54" s="420" t="s">
        <v>4534</v>
      </c>
      <c r="H54" s="420" t="s">
        <v>4672</v>
      </c>
      <c r="I54" s="420" t="s">
        <v>4695</v>
      </c>
      <c r="J54" s="179" t="s">
        <v>4717</v>
      </c>
      <c r="K54" s="179" t="s">
        <v>4720</v>
      </c>
      <c r="L54" s="420" t="s">
        <v>4725</v>
      </c>
    </row>
    <row r="55" spans="1:12">
      <c r="A55" s="178">
        <v>6</v>
      </c>
      <c r="B55" s="178" t="s">
        <v>3204</v>
      </c>
      <c r="D55" s="564" t="s">
        <v>4521</v>
      </c>
      <c r="E55" s="682" t="s">
        <v>4745</v>
      </c>
      <c r="F55" s="683" t="s">
        <v>4746</v>
      </c>
      <c r="G55" s="420" t="s">
        <v>4534</v>
      </c>
      <c r="H55" s="179" t="s">
        <v>4779</v>
      </c>
      <c r="I55" s="179" t="s">
        <v>4788</v>
      </c>
      <c r="J55" s="179" t="s">
        <v>4717</v>
      </c>
      <c r="K55" s="179" t="s">
        <v>4720</v>
      </c>
      <c r="L55" s="179" t="s">
        <v>4725</v>
      </c>
    </row>
  </sheetData>
  <sheetProtection password="C620" sheet="1"/>
  <phoneticPr fontId="19"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T68"/>
  <sheetViews>
    <sheetView topLeftCell="B32" workbookViewId="0">
      <selection activeCell="J54" sqref="J54:J55"/>
    </sheetView>
  </sheetViews>
  <sheetFormatPr defaultRowHeight="12.75"/>
  <cols>
    <col min="1" max="1" width="2" style="180" bestFit="1" customWidth="1"/>
    <col min="2" max="2" width="11.42578125" style="180" bestFit="1" customWidth="1"/>
    <col min="3" max="3" width="9.140625" style="180"/>
    <col min="4" max="13" width="24" style="180" customWidth="1"/>
    <col min="14" max="14" width="59" style="180" customWidth="1"/>
    <col min="15" max="15" width="50.42578125" style="180" bestFit="1" customWidth="1"/>
    <col min="16" max="16" width="31.7109375" style="180" customWidth="1"/>
    <col min="17" max="16384" width="9.140625" style="180"/>
  </cols>
  <sheetData>
    <row r="1" spans="1:20" s="190" customFormat="1">
      <c r="A1" s="190">
        <f>Application!H404</f>
        <v>1</v>
      </c>
      <c r="B1" s="190" t="s">
        <v>3287</v>
      </c>
      <c r="D1" s="190" t="str">
        <f>LOOKUP($A$1,'Lang Rig'!$A$3:$A$8,'Lang Rig'!D3:D8)</f>
        <v>RIG and SAILS</v>
      </c>
      <c r="E1" s="190" t="str">
        <f>LOOKUP($A$1,'Lang Rig'!$A$3:$A$8,'Lang Rig'!E3:E8)</f>
        <v>Rig type</v>
      </c>
      <c r="F1" s="190" t="str">
        <f>LOOKUP($A$1,'Lang Rig'!$A$3:$A$8,'Lang Rig'!F3:F8)</f>
        <v>Main or forward mast</v>
      </c>
      <c r="G1" s="190" t="str">
        <f>LOOKUP($A$1,'Lang Rig'!$A$3:$A$8,'Lang Rig'!G3:G8)</f>
        <v>Mizzen or aft mast</v>
      </c>
      <c r="H1" s="190" t="str">
        <f>LOOKUP($A$1,'Lang Rig'!$A$3:$A$8,'Lang Rig'!H3:H8)</f>
        <v>Source of information</v>
      </c>
      <c r="I1" s="190" t="str">
        <f>LOOKUP($A$1,'Lang Rig'!$A$3:$A$8,'Lang Rig'!I3:I8)</f>
        <v>Mainsail upper limit</v>
      </c>
      <c r="J1" s="190" t="str">
        <f>LOOKUP($A$1,'Lang Rig'!$A$3:$A$8,'Lang Rig'!J3:J8)</f>
        <v>Mainsail outer limit</v>
      </c>
      <c r="K1" s="190" t="str">
        <f>LOOKUP($A$1,'Lang Rig'!$A$3:$A$8,'Lang Rig'!K3:K8)</f>
        <v>Foretriangle base</v>
      </c>
      <c r="L1" s="190" t="str">
        <f>LOOKUP($A$1,'Lang Rig'!$A$3:$A$8,'Lang Rig'!L3:L8)</f>
        <v>Forestay length</v>
      </c>
      <c r="M1" s="190" t="str">
        <f>LOOKUP($A$1,'Lang Rig'!$A$3:$A$8,'Lang Rig'!M3:M8)</f>
        <v>Spin / whisker pole or tack length</v>
      </c>
      <c r="N1" s="190" t="str">
        <f>LOOKUP($A$1,'Lang Rig'!$A$3:$A$8,'Lang Rig'!N3:N8)</f>
        <v>When racing the yacht uses (spi/whisker pole/bowsprit) :</v>
      </c>
      <c r="O1" s="190">
        <f>LOOKUP($A$1,'Lang Rig'!$A$3:$A$8,'Lang Rig'!O3:O8)</f>
        <v>0</v>
      </c>
      <c r="P1" s="190" t="str">
        <f>LOOKUP($A$1,'Lang Rig'!$A$3:$A$8,'Lang Rig'!P3:P8)</f>
        <v>*STL always required when spinnaker used, even if tacked to deck</v>
      </c>
      <c r="Q1" s="190" t="str">
        <f>LOOKUP($A$1,'Lang Rig'!$A$3:$A$7,'Lang Rig'!Q3:Q7)</f>
        <v>used, even if tacked to deck</v>
      </c>
    </row>
    <row r="2" spans="1:20">
      <c r="D2" s="49"/>
      <c r="O2" s="63"/>
    </row>
    <row r="3" spans="1:20">
      <c r="A3" s="180">
        <v>1</v>
      </c>
      <c r="B3" s="180" t="s">
        <v>3288</v>
      </c>
      <c r="D3" s="15" t="s">
        <v>4574</v>
      </c>
      <c r="E3" s="65" t="s">
        <v>385</v>
      </c>
      <c r="F3" s="16" t="s">
        <v>387</v>
      </c>
      <c r="G3" s="15" t="s">
        <v>2322</v>
      </c>
      <c r="H3" s="15" t="s">
        <v>3901</v>
      </c>
      <c r="I3" s="17" t="s">
        <v>643</v>
      </c>
      <c r="J3" s="17" t="s">
        <v>644</v>
      </c>
      <c r="K3" s="17" t="s">
        <v>393</v>
      </c>
      <c r="L3" s="17" t="s">
        <v>396</v>
      </c>
      <c r="M3" s="17" t="s">
        <v>12</v>
      </c>
      <c r="N3" s="17" t="s">
        <v>4394</v>
      </c>
      <c r="O3" s="66"/>
      <c r="P3" s="16" t="s">
        <v>3506</v>
      </c>
      <c r="Q3" s="16" t="s">
        <v>0</v>
      </c>
    </row>
    <row r="4" spans="1:20">
      <c r="A4" s="180">
        <v>2</v>
      </c>
      <c r="B4" s="180" t="s">
        <v>3289</v>
      </c>
      <c r="D4" s="14" t="s">
        <v>4575</v>
      </c>
      <c r="E4" s="14" t="s">
        <v>4187</v>
      </c>
      <c r="F4" s="14" t="s">
        <v>4189</v>
      </c>
      <c r="G4" s="14" t="s">
        <v>4188</v>
      </c>
      <c r="H4" s="14" t="s">
        <v>4190</v>
      </c>
      <c r="I4" s="14" t="s">
        <v>3790</v>
      </c>
      <c r="J4" s="14" t="s">
        <v>2771</v>
      </c>
      <c r="K4" s="14" t="s">
        <v>1054</v>
      </c>
      <c r="L4" s="14" t="s">
        <v>2500</v>
      </c>
      <c r="M4" s="14" t="s">
        <v>3883</v>
      </c>
      <c r="N4" s="14" t="s">
        <v>2501</v>
      </c>
      <c r="O4" s="14"/>
      <c r="P4" s="14" t="s">
        <v>2172</v>
      </c>
      <c r="Q4" s="16"/>
    </row>
    <row r="5" spans="1:20">
      <c r="A5" s="180">
        <v>3</v>
      </c>
      <c r="B5" s="180" t="s">
        <v>3290</v>
      </c>
      <c r="D5" s="177" t="s">
        <v>4576</v>
      </c>
      <c r="E5" s="170" t="s">
        <v>2167</v>
      </c>
      <c r="F5" s="203" t="s">
        <v>2169</v>
      </c>
      <c r="G5" s="177" t="s">
        <v>2168</v>
      </c>
      <c r="H5" s="177" t="s">
        <v>3940</v>
      </c>
      <c r="I5" s="206" t="s">
        <v>2551</v>
      </c>
      <c r="J5" s="206" t="s">
        <v>2552</v>
      </c>
      <c r="K5" s="206" t="s">
        <v>2553</v>
      </c>
      <c r="L5" s="206" t="s">
        <v>2554</v>
      </c>
      <c r="M5" s="206" t="s">
        <v>2341</v>
      </c>
      <c r="N5" s="206" t="s">
        <v>1342</v>
      </c>
      <c r="O5" s="206"/>
      <c r="P5" s="203" t="s">
        <v>2195</v>
      </c>
      <c r="Q5" s="16"/>
    </row>
    <row r="6" spans="1:20">
      <c r="A6" s="180">
        <v>4</v>
      </c>
      <c r="B6" s="180" t="s">
        <v>3291</v>
      </c>
      <c r="D6" s="15"/>
      <c r="E6" s="65"/>
      <c r="F6" s="16"/>
      <c r="G6" s="15"/>
      <c r="H6" s="15"/>
      <c r="I6" s="17"/>
      <c r="J6" s="17"/>
      <c r="K6" s="17"/>
      <c r="L6" s="17"/>
      <c r="M6" s="17"/>
      <c r="N6" s="17"/>
      <c r="O6" s="17"/>
      <c r="P6" s="16"/>
      <c r="Q6" s="16"/>
    </row>
    <row r="7" spans="1:20">
      <c r="A7" s="180">
        <v>5</v>
      </c>
      <c r="B7" s="180" t="s">
        <v>3292</v>
      </c>
      <c r="D7" s="201" t="s">
        <v>4577</v>
      </c>
      <c r="E7" s="201" t="s">
        <v>3186</v>
      </c>
      <c r="F7" s="201" t="s">
        <v>2173</v>
      </c>
      <c r="G7" s="201" t="s">
        <v>2174</v>
      </c>
      <c r="H7" s="201" t="s">
        <v>2175</v>
      </c>
      <c r="I7" s="201" t="s">
        <v>2176</v>
      </c>
      <c r="J7" s="14" t="s">
        <v>2991</v>
      </c>
      <c r="K7" s="201" t="s">
        <v>2177</v>
      </c>
      <c r="L7" s="201" t="s">
        <v>2178</v>
      </c>
      <c r="M7" s="201" t="s">
        <v>2179</v>
      </c>
      <c r="N7" s="201" t="s">
        <v>2180</v>
      </c>
      <c r="O7" s="201"/>
      <c r="P7" s="201" t="s">
        <v>112</v>
      </c>
      <c r="Q7" s="16"/>
    </row>
    <row r="8" spans="1:20" s="188" customFormat="1" ht="15">
      <c r="A8" s="209">
        <v>6</v>
      </c>
      <c r="B8" s="209" t="s">
        <v>4310</v>
      </c>
      <c r="D8" s="135" t="s">
        <v>4574</v>
      </c>
      <c r="E8" s="129" t="s">
        <v>385</v>
      </c>
      <c r="F8" s="132" t="s">
        <v>387</v>
      </c>
      <c r="G8" s="135" t="s">
        <v>2322</v>
      </c>
      <c r="H8" s="135" t="s">
        <v>3207</v>
      </c>
      <c r="I8" s="132" t="s">
        <v>643</v>
      </c>
      <c r="J8" s="132" t="s">
        <v>644</v>
      </c>
      <c r="K8" s="132" t="s">
        <v>393</v>
      </c>
      <c r="L8" s="132" t="s">
        <v>396</v>
      </c>
      <c r="M8" s="132" t="s">
        <v>12</v>
      </c>
      <c r="N8" s="392" t="s">
        <v>1952</v>
      </c>
      <c r="O8" s="128"/>
      <c r="P8" s="132" t="s">
        <v>3215</v>
      </c>
      <c r="Q8" s="132"/>
    </row>
    <row r="9" spans="1:20">
      <c r="D9" s="201"/>
      <c r="E9" s="201"/>
      <c r="F9" s="201"/>
      <c r="G9" s="201"/>
      <c r="H9" s="201"/>
      <c r="I9" s="201"/>
      <c r="J9" s="14"/>
      <c r="K9" s="201"/>
      <c r="L9" s="201"/>
      <c r="M9" s="201"/>
      <c r="N9" s="201"/>
      <c r="O9" s="201"/>
      <c r="P9" s="201"/>
      <c r="Q9" s="16"/>
    </row>
    <row r="11" spans="1:20" s="190" customFormat="1">
      <c r="B11" s="190" t="s">
        <v>3287</v>
      </c>
      <c r="D11" s="190" t="str">
        <f>LOOKUP($A$1,'Lang Rig'!$A$3:$A$8,'Lang Rig'!D13:D18)</f>
        <v>Longest HLU of any headsail</v>
      </c>
      <c r="E11" s="190" t="str">
        <f>LOOKUP($A$1,'Lang Rig'!$A$3:$A$8,'Lang Rig'!E13:E18)</f>
        <v>Headsail luff length</v>
      </c>
      <c r="F11" s="190" t="str">
        <f>LOOKUP($A$1,'Lang Rig'!$A$3:$A$8,'Lang Rig'!F13:F18)</f>
        <v>Headsail perpendicular</v>
      </c>
      <c r="G11" s="190" t="str">
        <f>LOOKUP($A$1,'Lang Rig'!$A$3:$A$8,'Lang Rig'!G13:G18)</f>
        <v>Headsail 1/2 width</v>
      </c>
      <c r="H11" s="190" t="str">
        <f>LOOKUP($A$1,'Lang Rig'!$A$3:$A$8,'Lang Rig'!H13:H18)</f>
        <v>Headsail 3/4 width</v>
      </c>
      <c r="I11" s="190" t="str">
        <f>LOOKUP($A$1,'Lang Rig'!$A$3:$A$8,'Lang Rig'!I13:I18)</f>
        <v>Headsail upper (7/8) width</v>
      </c>
      <c r="J11" s="190" t="str">
        <f>LOOKUP($A$1,'Lang Rig'!$A$3:$A$8,'Lang Rig'!J13:J18)</f>
        <v>Mainsail upper (7/8) width</v>
      </c>
      <c r="K11" s="190" t="str">
        <f>LOOKUP($A$1,'Lang Rig'!$A$3:$A$8,'Lang Rig'!K13:K18)</f>
        <v>Mainsail 3/4 width</v>
      </c>
      <c r="L11" s="190" t="str">
        <f>LOOKUP($A$1,'Lang Rig'!$A$3:$A$8,'Lang Rig'!L13:L18)</f>
        <v>Mainsail 1/2 width</v>
      </c>
      <c r="M11" s="190" t="str">
        <f>LOOKUP($A$1,'Lang Rig'!$A$3:$A$8,'Lang Rig'!M13:M18)</f>
        <v>**largest area headsail</v>
      </c>
      <c r="N11" s="190" t="str">
        <f>LOOKUP($A$1,'Lang Rig'!$A$3:$A$8,'Lang Rig'!N13:N18)</f>
        <v>Calc HSA</v>
      </c>
      <c r="O11" s="190" t="str">
        <f>LOOKUP($A$1,'Lang Rig'!$A$3:$A$8,'Lang Rig'!O13:O18)</f>
        <v>default =</v>
      </c>
      <c r="P11" s="190" t="str">
        <f>LOOKUP($A$1,'Lang Rig'!$A$3:$A$8,'Lang Rig'!P13:P18)</f>
        <v xml:space="preserve">No. of spinnakers carried when racing </v>
      </c>
      <c r="Q11" s="190" t="str">
        <f>LOOKUP($A$1,'Lang Rig'!$A$3:$A$8,'Lang Rig'!Q13:Q18)</f>
        <v>symmetric</v>
      </c>
      <c r="R11" s="190" t="str">
        <f>LOOKUP($A$1,'Lang Rig'!$A$3:$A$8,'Lang Rig'!R13:R18)</f>
        <v>asymmetric</v>
      </c>
      <c r="S11" s="190" t="str">
        <f>LOOKUP($A$1,'Lang Rig'!$A$3:$A$8,'Lang Rig'!S13:S18)</f>
        <v>The largest of any SPA</v>
      </c>
      <c r="T11" s="190" t="str">
        <f>LOOKUP($A$1,'Lang Rig'!$A$3:$A$7,'Lang Rig'!T13:T17)</f>
        <v>shown below will be used</v>
      </c>
    </row>
    <row r="13" spans="1:20">
      <c r="A13" s="180">
        <v>1</v>
      </c>
      <c r="B13" s="180" t="s">
        <v>3288</v>
      </c>
      <c r="D13" s="17" t="s">
        <v>4729</v>
      </c>
      <c r="E13" s="17" t="s">
        <v>1500</v>
      </c>
      <c r="F13" s="17" t="s">
        <v>1501</v>
      </c>
      <c r="G13" s="17" t="s">
        <v>124</v>
      </c>
      <c r="H13" s="17" t="s">
        <v>2315</v>
      </c>
      <c r="I13" s="17" t="s">
        <v>123</v>
      </c>
      <c r="J13" s="17" t="s">
        <v>125</v>
      </c>
      <c r="K13" s="17" t="s">
        <v>1572</v>
      </c>
      <c r="L13" s="17" t="s">
        <v>1573</v>
      </c>
      <c r="M13" s="16" t="s">
        <v>4377</v>
      </c>
      <c r="N13" s="210" t="s">
        <v>4588</v>
      </c>
      <c r="O13" s="210" t="s">
        <v>1505</v>
      </c>
      <c r="P13" s="65" t="s">
        <v>402</v>
      </c>
      <c r="Q13" s="65" t="s">
        <v>403</v>
      </c>
      <c r="R13" s="65" t="s">
        <v>404</v>
      </c>
      <c r="S13" s="211" t="s">
        <v>1405</v>
      </c>
      <c r="T13" s="211" t="s">
        <v>1406</v>
      </c>
    </row>
    <row r="14" spans="1:20">
      <c r="A14" s="180">
        <v>2</v>
      </c>
      <c r="B14" s="180" t="s">
        <v>3289</v>
      </c>
      <c r="D14" s="14" t="s">
        <v>4730</v>
      </c>
      <c r="E14" s="14" t="s">
        <v>2505</v>
      </c>
      <c r="F14" s="14" t="s">
        <v>3278</v>
      </c>
      <c r="G14" s="14" t="s">
        <v>3507</v>
      </c>
      <c r="H14" s="182" t="s">
        <v>422</v>
      </c>
      <c r="I14" t="s">
        <v>4401</v>
      </c>
      <c r="J14" s="14" t="s">
        <v>3508</v>
      </c>
      <c r="K14" s="14" t="s">
        <v>3509</v>
      </c>
      <c r="L14" s="14" t="s">
        <v>3510</v>
      </c>
      <c r="M14" s="182" t="s">
        <v>4378</v>
      </c>
      <c r="N14" s="210" t="s">
        <v>4588</v>
      </c>
      <c r="O14" s="213" t="s">
        <v>3511</v>
      </c>
      <c r="P14" s="182" t="s">
        <v>1407</v>
      </c>
      <c r="Q14" s="14" t="s">
        <v>3512</v>
      </c>
      <c r="R14" s="14" t="s">
        <v>3513</v>
      </c>
      <c r="S14" s="71" t="s">
        <v>113</v>
      </c>
      <c r="T14" s="71" t="s">
        <v>3514</v>
      </c>
    </row>
    <row r="15" spans="1:20">
      <c r="A15" s="180">
        <v>3</v>
      </c>
      <c r="B15" s="180" t="s">
        <v>3290</v>
      </c>
      <c r="D15" s="551" t="s">
        <v>4732</v>
      </c>
      <c r="E15" s="206" t="s">
        <v>1343</v>
      </c>
      <c r="F15" s="206" t="s">
        <v>1344</v>
      </c>
      <c r="G15" s="206" t="s">
        <v>1345</v>
      </c>
      <c r="H15" s="206" t="s">
        <v>1346</v>
      </c>
      <c r="I15" t="s">
        <v>4402</v>
      </c>
      <c r="J15" s="206" t="s">
        <v>1348</v>
      </c>
      <c r="K15" s="206" t="s">
        <v>1347</v>
      </c>
      <c r="L15" s="206" t="s">
        <v>1349</v>
      </c>
      <c r="M15" s="203" t="s">
        <v>4379</v>
      </c>
      <c r="N15" s="210" t="s">
        <v>4588</v>
      </c>
      <c r="O15" s="214" t="s">
        <v>3527</v>
      </c>
      <c r="P15" s="170" t="s">
        <v>3528</v>
      </c>
      <c r="Q15" s="170" t="s">
        <v>3529</v>
      </c>
      <c r="R15" s="170" t="s">
        <v>3530</v>
      </c>
      <c r="S15" s="215" t="s">
        <v>3531</v>
      </c>
      <c r="T15" s="211"/>
    </row>
    <row r="16" spans="1:20">
      <c r="A16" s="180">
        <v>4</v>
      </c>
      <c r="B16" s="180" t="s">
        <v>3291</v>
      </c>
      <c r="D16" s="17"/>
      <c r="E16" s="17"/>
      <c r="F16" s="17"/>
      <c r="G16" s="17"/>
      <c r="H16" s="17"/>
      <c r="I16"/>
      <c r="J16" s="17"/>
      <c r="K16" s="17"/>
      <c r="L16" s="17"/>
      <c r="M16" s="16"/>
      <c r="N16" s="210" t="s">
        <v>4588</v>
      </c>
      <c r="O16" s="210"/>
      <c r="P16" s="65"/>
      <c r="Q16" s="65"/>
      <c r="R16" s="65"/>
      <c r="S16" s="211"/>
      <c r="T16" s="211"/>
    </row>
    <row r="17" spans="1:20">
      <c r="A17" s="180">
        <v>5</v>
      </c>
      <c r="B17" s="180" t="s">
        <v>3292</v>
      </c>
      <c r="D17" s="206" t="s">
        <v>4731</v>
      </c>
      <c r="E17" s="206" t="s">
        <v>2181</v>
      </c>
      <c r="F17" s="206" t="s">
        <v>2182</v>
      </c>
      <c r="G17" s="206" t="s">
        <v>2183</v>
      </c>
      <c r="H17" s="206" t="s">
        <v>2184</v>
      </c>
      <c r="I17" t="s">
        <v>4403</v>
      </c>
      <c r="J17" s="206" t="s">
        <v>2185</v>
      </c>
      <c r="K17" s="206" t="s">
        <v>2186</v>
      </c>
      <c r="L17" s="206" t="s">
        <v>2187</v>
      </c>
      <c r="M17" s="206" t="s">
        <v>4380</v>
      </c>
      <c r="N17" s="210" t="s">
        <v>4588</v>
      </c>
      <c r="O17" s="214" t="s">
        <v>2783</v>
      </c>
      <c r="P17" s="170" t="s">
        <v>2188</v>
      </c>
      <c r="Q17" s="170" t="s">
        <v>2189</v>
      </c>
      <c r="R17" s="170" t="s">
        <v>3823</v>
      </c>
      <c r="S17" s="215" t="s">
        <v>3824</v>
      </c>
      <c r="T17" s="211"/>
    </row>
    <row r="18" spans="1:20" s="188" customFormat="1" ht="15">
      <c r="A18" s="209">
        <v>6</v>
      </c>
      <c r="B18" s="209" t="s">
        <v>4310</v>
      </c>
      <c r="D18" s="132" t="s">
        <v>4729</v>
      </c>
      <c r="E18" s="132" t="s">
        <v>1500</v>
      </c>
      <c r="F18" s="132" t="s">
        <v>1501</v>
      </c>
      <c r="G18" s="132" t="s">
        <v>124</v>
      </c>
      <c r="H18" s="132" t="s">
        <v>2315</v>
      </c>
      <c r="I18" s="132" t="s">
        <v>123</v>
      </c>
      <c r="J18" s="132" t="s">
        <v>125</v>
      </c>
      <c r="K18" s="132" t="s">
        <v>1572</v>
      </c>
      <c r="L18" s="132" t="s">
        <v>1573</v>
      </c>
      <c r="M18" s="393" t="s">
        <v>1953</v>
      </c>
      <c r="N18" s="210" t="s">
        <v>4588</v>
      </c>
      <c r="O18" s="216" t="s">
        <v>1505</v>
      </c>
      <c r="P18" s="129" t="s">
        <v>402</v>
      </c>
      <c r="Q18" s="394" t="s">
        <v>1954</v>
      </c>
      <c r="R18" s="394" t="s">
        <v>1955</v>
      </c>
      <c r="S18" s="131" t="s">
        <v>3216</v>
      </c>
      <c r="T18" s="131" t="s">
        <v>3217</v>
      </c>
    </row>
    <row r="19" spans="1:20">
      <c r="D19" s="206"/>
      <c r="E19" s="206"/>
      <c r="F19" s="206"/>
      <c r="G19" s="206"/>
      <c r="H19" s="206"/>
      <c r="I19" s="206"/>
      <c r="J19" s="206"/>
      <c r="K19" s="206"/>
      <c r="L19" s="206"/>
      <c r="M19" s="206"/>
      <c r="N19" s="214"/>
      <c r="O19" s="214"/>
      <c r="P19" s="170"/>
      <c r="Q19" s="170"/>
      <c r="R19" s="170"/>
      <c r="S19" s="215"/>
      <c r="T19" s="211"/>
    </row>
    <row r="21" spans="1:20" s="190" customFormat="1">
      <c r="B21" s="190" t="s">
        <v>3287</v>
      </c>
      <c r="D21" s="190" t="str">
        <f>LOOKUP($A$1,'Lang Rig'!$A$3:$A$8,'Lang Rig'!D23:D28)</f>
        <v>Symmetric spinnaker luff</v>
      </c>
      <c r="E21" s="190" t="str">
        <f>LOOKUP($A$1,'Lang Rig'!$A$3:$A$8,'Lang Rig'!E23:E28)</f>
        <v>Symmetric spinnaker leech</v>
      </c>
      <c r="F21" s="190" t="str">
        <f>LOOKUP($A$1,'Lang Rig'!$A$3:$A$8,'Lang Rig'!F23:F28)</f>
        <v>Symmetric spinnaker foot</v>
      </c>
      <c r="G21" s="190" t="str">
        <f>LOOKUP($A$1,'Lang Rig'!$A$3:$A$8,'Lang Rig'!G23:G28)</f>
        <v>Symmetric spinnaker half width</v>
      </c>
      <c r="H21" s="190" t="str">
        <f>LOOKUP($A$1,'Lang Rig'!$A$3:$A$8,'Lang Rig'!H23:H28)</f>
        <v>Asymmetric spinnaker luff</v>
      </c>
      <c r="I21" s="190" t="str">
        <f>LOOKUP($A$1,'Lang Rig'!$A$3:$A$8,'Lang Rig'!I23:I28)</f>
        <v>Asymmetric spinnaker leech</v>
      </c>
      <c r="J21" s="190" t="str">
        <f>LOOKUP($A$1,'Lang Rig'!$A$3:$A$8,'Lang Rig'!J23:J28)</f>
        <v>Asymmetric spinnaker foot</v>
      </c>
      <c r="K21" s="190" t="str">
        <f>LOOKUP($A$1,'Lang Rig'!$A$3:$A$8,'Lang Rig'!K23:K28)</f>
        <v>Asymmetric spinnaker half width</v>
      </c>
      <c r="L21" s="190">
        <f>LOOKUP($A$1,'Lang Rig'!$A$3:$A$8,'Lang Rig'!L23:L28)</f>
        <v>0</v>
      </c>
      <c r="M21" s="190">
        <f>LOOKUP($A$1,'Lang Rig'!$A$3:$A$8,'Lang Rig'!M23:M28)</f>
        <v>0</v>
      </c>
      <c r="N21" s="190" t="str">
        <f>LOOKUP($A$1,'Lang Rig'!$A$3:$A$8,'Lang Rig'!N23:N28)</f>
        <v>or SPA</v>
      </c>
      <c r="O21" s="190" t="str">
        <f>LOOKUP($A$1,'Lang Rig'!$A$3:$A$8,'Lang Rig'!O23:O28)</f>
        <v>Calc SPA</v>
      </c>
      <c r="P21" s="190" t="str">
        <f>LOOKUP($A$1,'Lang Rig'!$A$3:$A$8,'Lang Rig'!P23:P28)</f>
        <v>from COMPLETE linear data</v>
      </c>
      <c r="Q21" s="190" t="str">
        <f>LOOKUP($A$1,'Lang Rig'!$A$3:$A$8,'Lang Rig'!Q23:Q28)</f>
        <v>Ketches/yawls only :</v>
      </c>
      <c r="R21" s="190">
        <f>LOOKUP($A$1,'Lang Rig'!$A$3:$A$8,'Lang Rig'!R23:R28)</f>
        <v>0</v>
      </c>
      <c r="S21" s="190" t="str">
        <f>LOOKUP($A$1,'Lang Rig'!$A$3:$A$8,'Lang Rig'!S23:S28)</f>
        <v>Mizzen staysail HLP</v>
      </c>
      <c r="T21" s="190" t="str">
        <f>LOOKUP($A$1,'Lang Rig'!$A$3:$A$7,'Lang Rig'!T23:T27)</f>
        <v>Mizzen staysail HLU</v>
      </c>
    </row>
    <row r="23" spans="1:20">
      <c r="A23" s="180">
        <v>1</v>
      </c>
      <c r="B23" s="180" t="s">
        <v>3288</v>
      </c>
      <c r="D23" s="17" t="s">
        <v>1509</v>
      </c>
      <c r="E23" s="17" t="s">
        <v>170</v>
      </c>
      <c r="F23" s="17" t="s">
        <v>174</v>
      </c>
      <c r="G23" s="17" t="s">
        <v>176</v>
      </c>
      <c r="H23" s="17" t="s">
        <v>179</v>
      </c>
      <c r="I23" s="17" t="s">
        <v>184</v>
      </c>
      <c r="J23" s="17" t="s">
        <v>672</v>
      </c>
      <c r="K23" s="17" t="s">
        <v>673</v>
      </c>
      <c r="N23" s="15" t="s">
        <v>178</v>
      </c>
      <c r="O23" s="15" t="s">
        <v>4076</v>
      </c>
      <c r="P23" s="67" t="s">
        <v>4089</v>
      </c>
      <c r="Q23" s="17" t="s">
        <v>675</v>
      </c>
      <c r="R23" s="17"/>
      <c r="S23" s="17" t="s">
        <v>4566</v>
      </c>
      <c r="T23" s="17" t="s">
        <v>4570</v>
      </c>
    </row>
    <row r="24" spans="1:20">
      <c r="A24" s="180">
        <v>2</v>
      </c>
      <c r="B24" s="180" t="s">
        <v>3289</v>
      </c>
      <c r="D24" s="14" t="s">
        <v>1408</v>
      </c>
      <c r="E24" s="14" t="s">
        <v>1408</v>
      </c>
      <c r="F24" s="14" t="s">
        <v>1409</v>
      </c>
      <c r="G24" s="182" t="s">
        <v>1410</v>
      </c>
      <c r="H24" s="14" t="s">
        <v>1411</v>
      </c>
      <c r="I24" s="14" t="s">
        <v>1412</v>
      </c>
      <c r="J24" s="14" t="s">
        <v>1413</v>
      </c>
      <c r="K24" s="14" t="s">
        <v>1414</v>
      </c>
      <c r="L24" s="194"/>
      <c r="M24" s="194"/>
      <c r="N24" s="14" t="s">
        <v>2772</v>
      </c>
      <c r="O24" s="14" t="s">
        <v>4076</v>
      </c>
      <c r="P24" s="68" t="s">
        <v>2773</v>
      </c>
      <c r="Q24" s="14" t="s">
        <v>3884</v>
      </c>
      <c r="R24" s="14"/>
      <c r="S24" s="14" t="s">
        <v>4567</v>
      </c>
      <c r="T24" s="14" t="s">
        <v>4571</v>
      </c>
    </row>
    <row r="25" spans="1:20">
      <c r="A25" s="180">
        <v>3</v>
      </c>
      <c r="B25" s="180" t="s">
        <v>3290</v>
      </c>
      <c r="D25" s="206" t="s">
        <v>3532</v>
      </c>
      <c r="E25" s="206" t="s">
        <v>3532</v>
      </c>
      <c r="F25" s="206" t="s">
        <v>3533</v>
      </c>
      <c r="G25" s="206" t="s">
        <v>3534</v>
      </c>
      <c r="H25" s="206" t="s">
        <v>3535</v>
      </c>
      <c r="I25" s="206" t="s">
        <v>2840</v>
      </c>
      <c r="J25" s="206" t="s">
        <v>2841</v>
      </c>
      <c r="K25" s="206" t="s">
        <v>2845</v>
      </c>
      <c r="L25" s="185"/>
      <c r="M25" s="185"/>
      <c r="N25" s="177" t="s">
        <v>2846</v>
      </c>
      <c r="O25" s="177" t="s">
        <v>4076</v>
      </c>
      <c r="P25" s="218" t="s">
        <v>2847</v>
      </c>
      <c r="Q25" s="206" t="s">
        <v>2848</v>
      </c>
      <c r="R25" s="206"/>
      <c r="S25" s="206" t="s">
        <v>4568</v>
      </c>
      <c r="T25" s="206" t="s">
        <v>4572</v>
      </c>
    </row>
    <row r="26" spans="1:20">
      <c r="A26" s="180">
        <v>4</v>
      </c>
      <c r="B26" s="180" t="s">
        <v>3291</v>
      </c>
      <c r="D26" s="17"/>
      <c r="E26" s="17"/>
      <c r="F26" s="17"/>
      <c r="G26" s="17"/>
      <c r="H26" s="17"/>
      <c r="I26" s="17"/>
      <c r="J26" s="17"/>
      <c r="K26" s="17"/>
      <c r="N26" s="15"/>
      <c r="O26" s="15"/>
      <c r="P26" s="67"/>
      <c r="Q26" s="17"/>
      <c r="R26" s="17"/>
      <c r="S26" s="17"/>
      <c r="T26" s="17"/>
    </row>
    <row r="27" spans="1:20">
      <c r="A27" s="180">
        <v>5</v>
      </c>
      <c r="B27" s="180" t="s">
        <v>3292</v>
      </c>
      <c r="D27" s="206" t="s">
        <v>3826</v>
      </c>
      <c r="E27" s="206" t="s">
        <v>3827</v>
      </c>
      <c r="F27" s="206" t="s">
        <v>3825</v>
      </c>
      <c r="G27" s="206" t="s">
        <v>3828</v>
      </c>
      <c r="H27" s="206" t="s">
        <v>3829</v>
      </c>
      <c r="I27" s="206" t="s">
        <v>3830</v>
      </c>
      <c r="J27" s="206" t="s">
        <v>3831</v>
      </c>
      <c r="K27" s="206" t="s">
        <v>3832</v>
      </c>
      <c r="L27" s="185"/>
      <c r="M27" s="185"/>
      <c r="N27" s="177" t="s">
        <v>3833</v>
      </c>
      <c r="O27" s="177" t="s">
        <v>4076</v>
      </c>
      <c r="P27" s="218" t="s">
        <v>3834</v>
      </c>
      <c r="Q27" s="206" t="s">
        <v>3835</v>
      </c>
      <c r="R27" s="206"/>
      <c r="S27" s="206" t="s">
        <v>4569</v>
      </c>
      <c r="T27" s="206" t="s">
        <v>4573</v>
      </c>
    </row>
    <row r="28" spans="1:20" s="188" customFormat="1" ht="15">
      <c r="A28" s="209">
        <v>6</v>
      </c>
      <c r="B28" s="209" t="s">
        <v>4310</v>
      </c>
      <c r="D28" s="132" t="s">
        <v>1509</v>
      </c>
      <c r="E28" s="132" t="s">
        <v>170</v>
      </c>
      <c r="F28" s="132" t="s">
        <v>174</v>
      </c>
      <c r="G28" s="132" t="s">
        <v>176</v>
      </c>
      <c r="H28" s="132" t="s">
        <v>179</v>
      </c>
      <c r="I28" s="132" t="s">
        <v>184</v>
      </c>
      <c r="J28" s="132" t="s">
        <v>672</v>
      </c>
      <c r="K28" s="132" t="s">
        <v>673</v>
      </c>
      <c r="L28" s="219"/>
      <c r="M28" s="219"/>
      <c r="N28" s="135" t="s">
        <v>178</v>
      </c>
      <c r="O28" s="135" t="s">
        <v>3218</v>
      </c>
      <c r="P28" s="130" t="s">
        <v>3219</v>
      </c>
      <c r="Q28" s="132" t="s">
        <v>675</v>
      </c>
      <c r="R28" s="132"/>
      <c r="S28" s="132" t="s">
        <v>4566</v>
      </c>
      <c r="T28" s="17" t="s">
        <v>4570</v>
      </c>
    </row>
    <row r="29" spans="1:20">
      <c r="D29" s="206"/>
      <c r="E29" s="206"/>
      <c r="F29" s="206"/>
      <c r="G29" s="206"/>
      <c r="H29" s="206"/>
      <c r="I29" s="206"/>
      <c r="J29" s="206"/>
      <c r="K29" s="206"/>
      <c r="L29" s="185"/>
      <c r="M29" s="185"/>
      <c r="N29" s="177"/>
      <c r="O29" s="177"/>
      <c r="P29" s="218"/>
      <c r="Q29" s="206"/>
      <c r="R29" s="206"/>
      <c r="S29" s="206"/>
    </row>
    <row r="31" spans="1:20" s="190" customFormat="1">
      <c r="B31" s="190" t="s">
        <v>3287</v>
      </c>
      <c r="D31" s="190" t="str">
        <f>LOOKUP($A$1,'Lang Rig'!$A$3:$A$8,'Lang Rig'!D33:D38)</f>
        <v>Name of sailmaker (s) loft (s)</v>
      </c>
      <c r="E31" s="190" t="str">
        <f>LOOKUP($A$1,'Lang Rig'!$A$3:$A$8,'Lang Rig'!E33:E38)</f>
        <v>Mainmast material</v>
      </c>
      <c r="F31" s="190" t="str">
        <f>LOOKUP($A$1,'Lang Rig'!$A$3:$A$8,'Lang Rig'!F33:F38)</f>
        <v>if other :</v>
      </c>
      <c r="G31" s="190" t="str">
        <f>LOOKUP($A$1,'Lang Rig'!$A$3:$A$8,'Lang Rig'!G33:G38)</f>
        <v>No. of pairs of spreaders</v>
      </c>
      <c r="H31" s="190" t="str">
        <f>LOOKUP($A$1,'Lang Rig'!$A$3:$A$8,'Lang Rig'!H33:H38)</f>
        <v>No. of pairs diamonds/jumpers</v>
      </c>
      <c r="I31" s="473" t="str">
        <f>LOOKUP($A$1,'Lang Rig'!$A$3:$A$8,'Lang Rig'!I33:I38)</f>
        <v>No. of aft stays or pairs of stays</v>
      </c>
      <c r="J31" s="190" t="str">
        <f>LOOKUP($A$1,'Lang Rig'!$A$3:$A$8,'Lang Rig'!J33:J38)</f>
        <v>No. of pairs of checkstays</v>
      </c>
      <c r="K31" s="190" t="str">
        <f>LOOKUP($A$1,'Lang Rig'!$A$3:$A$8,'Lang Rig'!K33:K38)</f>
        <v>(forward facing spreaders on fractionally rigged boats)</v>
      </c>
      <c r="L31" s="473" t="str">
        <f>LOOKUP($A$1,'Lang Rig'!$A$3:$A$8,'Lang Rig'!L33:L38)</f>
        <v>see drawings</v>
      </c>
      <c r="M31" s="190" t="str">
        <f>LOOKUP($A$1,'Lang Rig'!$A$3:$A$8,'Lang Rig'!M33:M38)</f>
        <v>Spreader sweepback</v>
      </c>
      <c r="N31" s="190" t="str">
        <f>LOOKUP($A$1,'Lang Rig'!$A$3:$A$8,'Lang Rig'!N33:N38)</f>
        <v>Does the rig have any unusual / non standard features?</v>
      </c>
      <c r="O31" s="190" t="str">
        <f>LOOKUP($A$1,'Lang Rig'!$A$3:$A$8,'Lang Rig'!O33:O38)</f>
        <v>See Rule 21.2</v>
      </c>
      <c r="P31" s="190" t="str">
        <f>LOOKUP($A$1,'Lang Rig'!$A$3:$A$8,'Lang Rig'!P33:P38)</f>
        <v>If yes, give details in box at end of form</v>
      </c>
      <c r="Q31" s="473" t="str">
        <f>LOOKUP($A$1,'Lang Rig'!$A$3:$A$8,'Lang Rig'!Q33:Q38)</f>
        <v>Changed for 2017. Click here to see new Definition of Aft rigging</v>
      </c>
      <c r="R31" s="473" t="str">
        <f>LOOKUP($A$1,'Lang Rig'!$A$3:$A$8,'Lang Rig'!R33:R38)</f>
        <v>Link to aft rigging drawings</v>
      </c>
      <c r="T31" s="190">
        <f>LOOKUP($A$1,'Lang Rig'!$A$3:$A$7,'Lang Rig'!T33:T37)</f>
        <v>0</v>
      </c>
    </row>
    <row r="33" spans="1:18">
      <c r="A33" s="180">
        <v>1</v>
      </c>
      <c r="B33" s="180" t="s">
        <v>3288</v>
      </c>
      <c r="D33" s="17" t="s">
        <v>3321</v>
      </c>
      <c r="E33" s="65" t="s">
        <v>3323</v>
      </c>
      <c r="F33" s="14" t="s">
        <v>4213</v>
      </c>
      <c r="G33" s="17" t="s">
        <v>3325</v>
      </c>
      <c r="H33" s="17" t="s">
        <v>187</v>
      </c>
      <c r="I33" s="17" t="s">
        <v>4590</v>
      </c>
      <c r="J33" s="17" t="s">
        <v>3329</v>
      </c>
      <c r="K33" s="69" t="s">
        <v>2510</v>
      </c>
      <c r="L33" s="466" t="s">
        <v>4454</v>
      </c>
      <c r="M33" s="16" t="s">
        <v>3591</v>
      </c>
      <c r="N33" s="16" t="s">
        <v>2511</v>
      </c>
      <c r="O33" s="16" t="s">
        <v>190</v>
      </c>
      <c r="P33" s="70" t="s">
        <v>4214</v>
      </c>
      <c r="Q33" s="180" t="s">
        <v>4455</v>
      </c>
      <c r="R33" s="180" t="s">
        <v>4456</v>
      </c>
    </row>
    <row r="34" spans="1:18">
      <c r="A34" s="180">
        <v>2</v>
      </c>
      <c r="B34" s="180" t="s">
        <v>3289</v>
      </c>
      <c r="D34" s="14" t="s">
        <v>2774</v>
      </c>
      <c r="E34" s="14" t="s">
        <v>3521</v>
      </c>
      <c r="F34" s="14" t="s">
        <v>3522</v>
      </c>
      <c r="G34" s="14" t="s">
        <v>3523</v>
      </c>
      <c r="H34" s="14" t="s">
        <v>3524</v>
      </c>
      <c r="I34" s="14" t="s">
        <v>4589</v>
      </c>
      <c r="J34" s="14" t="s">
        <v>122</v>
      </c>
      <c r="K34" s="71" t="s">
        <v>4005</v>
      </c>
      <c r="L34" s="205" t="s">
        <v>4466</v>
      </c>
      <c r="M34" s="14" t="s">
        <v>3592</v>
      </c>
      <c r="N34" s="14" t="s">
        <v>4006</v>
      </c>
      <c r="O34" s="14" t="s">
        <v>191</v>
      </c>
      <c r="P34" s="72" t="s">
        <v>4008</v>
      </c>
      <c r="Q34" s="14" t="s">
        <v>4469</v>
      </c>
      <c r="R34" s="14" t="s">
        <v>4472</v>
      </c>
    </row>
    <row r="35" spans="1:18">
      <c r="A35" s="180">
        <v>3</v>
      </c>
      <c r="B35" s="180" t="s">
        <v>3290</v>
      </c>
      <c r="D35" s="206" t="s">
        <v>2849</v>
      </c>
      <c r="E35" s="170" t="s">
        <v>2850</v>
      </c>
      <c r="F35" s="201" t="s">
        <v>2851</v>
      </c>
      <c r="G35" s="206" t="s">
        <v>2852</v>
      </c>
      <c r="H35" s="206" t="s">
        <v>2853</v>
      </c>
      <c r="I35" s="206" t="s">
        <v>4591</v>
      </c>
      <c r="J35" s="206" t="s">
        <v>2854</v>
      </c>
      <c r="K35" s="220" t="s">
        <v>2855</v>
      </c>
      <c r="L35" s="480" t="s">
        <v>4467</v>
      </c>
      <c r="M35" s="203" t="s">
        <v>3593</v>
      </c>
      <c r="N35" s="203" t="s">
        <v>2856</v>
      </c>
      <c r="O35" s="203" t="s">
        <v>2857</v>
      </c>
      <c r="P35" s="204" t="s">
        <v>2858</v>
      </c>
      <c r="Q35" s="203" t="s">
        <v>4470</v>
      </c>
      <c r="R35" s="203" t="s">
        <v>4473</v>
      </c>
    </row>
    <row r="36" spans="1:18">
      <c r="A36" s="180">
        <v>4</v>
      </c>
      <c r="B36" s="180" t="s">
        <v>3291</v>
      </c>
      <c r="D36" s="17"/>
      <c r="E36" s="65"/>
      <c r="F36" s="14"/>
      <c r="G36" s="17"/>
      <c r="H36" s="17"/>
      <c r="I36" s="17"/>
      <c r="J36" s="17"/>
      <c r="K36" s="69"/>
      <c r="L36" s="81"/>
      <c r="M36" s="16"/>
      <c r="N36" s="16"/>
      <c r="O36" s="16"/>
      <c r="P36" s="70"/>
    </row>
    <row r="37" spans="1:18">
      <c r="A37" s="180">
        <v>5</v>
      </c>
      <c r="B37" s="180" t="s">
        <v>3292</v>
      </c>
      <c r="D37" s="206" t="s">
        <v>3836</v>
      </c>
      <c r="E37" s="170" t="s">
        <v>3837</v>
      </c>
      <c r="F37" s="201" t="s">
        <v>3838</v>
      </c>
      <c r="G37" s="206" t="s">
        <v>3839</v>
      </c>
      <c r="H37" s="206" t="s">
        <v>3841</v>
      </c>
      <c r="I37" s="206" t="s">
        <v>4592</v>
      </c>
      <c r="J37" s="206" t="s">
        <v>3840</v>
      </c>
      <c r="K37" s="220" t="s">
        <v>3842</v>
      </c>
      <c r="L37" s="480" t="s">
        <v>4468</v>
      </c>
      <c r="M37" s="203" t="s">
        <v>3594</v>
      </c>
      <c r="N37" s="203" t="s">
        <v>22</v>
      </c>
      <c r="O37" s="203" t="s">
        <v>23</v>
      </c>
      <c r="P37" s="204" t="s">
        <v>24</v>
      </c>
      <c r="Q37" s="73" t="s">
        <v>4471</v>
      </c>
      <c r="R37" s="203" t="s">
        <v>4474</v>
      </c>
    </row>
    <row r="38" spans="1:18" s="188" customFormat="1" ht="15">
      <c r="A38" s="209">
        <v>6</v>
      </c>
      <c r="B38" s="209" t="s">
        <v>4310</v>
      </c>
      <c r="D38" s="132" t="s">
        <v>3321</v>
      </c>
      <c r="E38" s="129" t="s">
        <v>3323</v>
      </c>
      <c r="F38" s="133" t="s">
        <v>3220</v>
      </c>
      <c r="G38" s="132" t="s">
        <v>3325</v>
      </c>
      <c r="H38" s="132" t="s">
        <v>187</v>
      </c>
      <c r="I38" s="476" t="s">
        <v>4593</v>
      </c>
      <c r="J38" s="132" t="s">
        <v>3329</v>
      </c>
      <c r="K38" s="131" t="s">
        <v>3221</v>
      </c>
      <c r="L38" s="474" t="s">
        <v>4457</v>
      </c>
      <c r="M38" s="132" t="s">
        <v>3595</v>
      </c>
      <c r="N38" s="380" t="s">
        <v>209</v>
      </c>
      <c r="O38" s="132" t="s">
        <v>3222</v>
      </c>
      <c r="P38" s="134" t="s">
        <v>3223</v>
      </c>
      <c r="Q38" s="475" t="s">
        <v>4458</v>
      </c>
      <c r="R38" s="476" t="s">
        <v>4459</v>
      </c>
    </row>
    <row r="39" spans="1:18">
      <c r="D39" s="206"/>
      <c r="E39" s="170"/>
      <c r="F39" s="201"/>
      <c r="G39" s="206"/>
      <c r="H39" s="206"/>
      <c r="I39" s="206"/>
      <c r="J39" s="206"/>
      <c r="K39" s="220"/>
      <c r="L39" s="220"/>
      <c r="M39" s="203"/>
      <c r="N39" s="203"/>
      <c r="O39" s="203"/>
      <c r="P39" s="204"/>
      <c r="Q39" s="73"/>
    </row>
    <row r="40" spans="1:18">
      <c r="D40" s="17"/>
      <c r="E40" s="65"/>
      <c r="F40" s="14"/>
      <c r="G40" s="17"/>
      <c r="H40" s="17"/>
      <c r="I40" s="17"/>
      <c r="J40" s="17"/>
      <c r="K40" s="69"/>
      <c r="L40" s="69"/>
      <c r="M40" s="16"/>
      <c r="N40" s="16"/>
      <c r="O40" s="16"/>
      <c r="P40" s="70"/>
      <c r="Q40" s="73"/>
    </row>
    <row r="41" spans="1:18" s="190" customFormat="1">
      <c r="B41" s="190" t="s">
        <v>3287</v>
      </c>
      <c r="D41" s="190" t="str">
        <f>LOOKUP($A$1,'Lang Rig'!$A$3:$A$8,'Lang Rig'!D43:D48)</f>
        <v>Standing rigging material</v>
      </c>
      <c r="E41" s="190" t="str">
        <f>LOOKUP($A$1,'Lang Rig'!$A$3:$A$8,'Lang Rig'!E43:E48)</f>
        <v>Specify here if 'other'</v>
      </c>
      <c r="F41" s="190" t="str">
        <f>LOOKUP($A$1,'Lang Rig'!$A$3:$A$8,'Lang Rig'!F43:F48)</f>
        <v>Is a roller furling headsail fitted?</v>
      </c>
      <c r="G41" s="190" t="str">
        <f>LOOKUP($A$1,'Lang Rig'!$A$3:$A$8,'Lang Rig'!G43:G48)</f>
        <v xml:space="preserve">Is in-mast furling fitted?  </v>
      </c>
      <c r="H41" s="190" t="str">
        <f>LOOKUP($A$1,'Lang Rig'!$A$3:$A$8,'Lang Rig'!H43:H48)</f>
        <v>TOTAL No. of headsails carried that may be used when racing</v>
      </c>
      <c r="I41" s="190" t="str">
        <f>LOOKUP($A$1,'Lang Rig'!$A$3:$A$8,'Lang Rig'!I43:I48)</f>
        <v xml:space="preserve">if none, input 0 </v>
      </c>
      <c r="J41" s="190" t="str">
        <f>LOOKUP($A$1,'Lang Rig'!$A$3:$A$8,'Lang Rig'!J43:J48)</f>
        <v>(excluding OSR* storm &amp; heavy weather sails)</v>
      </c>
      <c r="K41" s="190" t="str">
        <f>LOOKUP($A$1,'Lang Rig'!$A$3:$A$8,'Lang Rig'!K43:K48)</f>
        <v>AND : OSR* heavy weather jib carried ?</v>
      </c>
      <c r="L41" s="190" t="str">
        <f>LOOKUP($A$1,'Lang Rig'!$A$3:$A$8,'Lang Rig'!L43:L48)</f>
        <v>Is the yacht a dayboat ?</v>
      </c>
      <c r="M41" s="190" t="str">
        <f>LOOKUP($A$1,'Lang Rig'!$A$3:$A$8,'Lang Rig'!M43:M48)</f>
        <v>See IRC Rule 24</v>
      </c>
      <c r="N41" s="190" t="str">
        <f>LOOKUP($A$1,'Lang Rig'!$A$3:$A$8,'Lang Rig'!N43:N48)</f>
        <v>Are OSR* lifelines fitted ?</v>
      </c>
      <c r="O41" s="190" t="str">
        <f>LOOKUP($A$1,'Lang Rig'!$A$3:$A$8,'Lang Rig'!O43:O48)</f>
        <v>*World Sailing Offshore Special Regulation 3.14</v>
      </c>
      <c r="P41" s="190" t="str">
        <f>LOOKUP($A$1,'Lang Rig'!$A$3:$A$7,'Lang Rig'!P43:P47)</f>
        <v>*World Sailing Offshore Special Regulation 4.26</v>
      </c>
      <c r="Q41" s="190">
        <f>LOOKUP($A$1,'Lang Rig'!$A$3:$A$7,'Lang Rig'!Q43:Q47)</f>
        <v>0</v>
      </c>
      <c r="R41" s="190">
        <f>LOOKUP($A$1,'Lang Rig'!$A$3:$A$7,'Lang Rig'!R43:R47)</f>
        <v>0</v>
      </c>
    </row>
    <row r="42" spans="1:18">
      <c r="D42" s="17"/>
      <c r="E42" s="65"/>
      <c r="F42" s="14"/>
      <c r="G42" s="17"/>
      <c r="H42" s="17"/>
      <c r="I42" s="17"/>
      <c r="J42" s="17"/>
      <c r="K42" s="69"/>
      <c r="L42" s="69"/>
      <c r="M42" s="16"/>
      <c r="N42" s="16"/>
      <c r="O42" s="16"/>
      <c r="P42" s="70"/>
      <c r="Q42" s="73"/>
    </row>
    <row r="43" spans="1:18">
      <c r="A43" s="180">
        <v>1</v>
      </c>
      <c r="B43" s="180" t="s">
        <v>3288</v>
      </c>
      <c r="D43" s="65" t="s">
        <v>1530</v>
      </c>
      <c r="E43" s="16" t="s">
        <v>4215</v>
      </c>
      <c r="F43" s="65" t="s">
        <v>230</v>
      </c>
      <c r="G43" s="14" t="s">
        <v>4600</v>
      </c>
      <c r="H43" s="16" t="s">
        <v>3731</v>
      </c>
      <c r="I43" s="15" t="s">
        <v>3349</v>
      </c>
      <c r="J43" s="70" t="s">
        <v>4602</v>
      </c>
      <c r="K43" s="16" t="s">
        <v>4594</v>
      </c>
      <c r="L43" s="16" t="s">
        <v>3333</v>
      </c>
      <c r="M43" s="15" t="s">
        <v>192</v>
      </c>
      <c r="N43" s="65" t="s">
        <v>4636</v>
      </c>
      <c r="O43" s="14" t="s">
        <v>4639</v>
      </c>
      <c r="P43" s="14" t="s">
        <v>4599</v>
      </c>
      <c r="Q43" s="73"/>
    </row>
    <row r="44" spans="1:18">
      <c r="A44" s="180">
        <v>2</v>
      </c>
      <c r="B44" s="180" t="s">
        <v>3289</v>
      </c>
      <c r="D44" s="14" t="s">
        <v>4009</v>
      </c>
      <c r="E44" s="14" t="s">
        <v>4010</v>
      </c>
      <c r="F44" s="14" t="s">
        <v>4012</v>
      </c>
      <c r="G44" s="14" t="s">
        <v>4011</v>
      </c>
      <c r="H44" s="2" t="s">
        <v>1926</v>
      </c>
      <c r="I44" s="14" t="s">
        <v>4013</v>
      </c>
      <c r="J44" s="407" t="s">
        <v>4603</v>
      </c>
      <c r="K44" s="407" t="s">
        <v>4595</v>
      </c>
      <c r="L44" s="71" t="s">
        <v>4014</v>
      </c>
      <c r="M44" s="14" t="s">
        <v>193</v>
      </c>
      <c r="N44" s="407" t="s">
        <v>4735</v>
      </c>
      <c r="O44" s="14" t="s">
        <v>4639</v>
      </c>
      <c r="P44" s="14" t="s">
        <v>4599</v>
      </c>
      <c r="Q44" s="73"/>
    </row>
    <row r="45" spans="1:18">
      <c r="A45" s="180">
        <v>3</v>
      </c>
      <c r="B45" s="180" t="s">
        <v>3290</v>
      </c>
      <c r="D45" s="206" t="s">
        <v>2859</v>
      </c>
      <c r="E45" s="170" t="s">
        <v>2860</v>
      </c>
      <c r="F45" s="201" t="s">
        <v>152</v>
      </c>
      <c r="G45" s="206" t="s">
        <v>4601</v>
      </c>
      <c r="H45" s="2" t="s">
        <v>3021</v>
      </c>
      <c r="I45" s="206" t="s">
        <v>3538</v>
      </c>
      <c r="J45" s="206" t="s">
        <v>4604</v>
      </c>
      <c r="K45" s="220" t="s">
        <v>4596</v>
      </c>
      <c r="L45" s="220" t="s">
        <v>3539</v>
      </c>
      <c r="M45" s="203" t="s">
        <v>3540</v>
      </c>
      <c r="N45" s="203" t="s">
        <v>4736</v>
      </c>
      <c r="O45" s="14" t="s">
        <v>4639</v>
      </c>
      <c r="P45" s="14" t="s">
        <v>4599</v>
      </c>
      <c r="Q45" s="73"/>
    </row>
    <row r="46" spans="1:18">
      <c r="A46" s="180">
        <v>4</v>
      </c>
      <c r="B46" s="180" t="s">
        <v>3291</v>
      </c>
      <c r="D46" s="17"/>
      <c r="E46" s="65"/>
      <c r="F46" s="14"/>
      <c r="G46" s="17"/>
      <c r="H46" s="17"/>
      <c r="I46" s="17"/>
      <c r="J46" s="17"/>
      <c r="K46" s="69"/>
      <c r="L46" s="69"/>
      <c r="M46" s="16"/>
      <c r="N46" s="16"/>
      <c r="O46" s="14"/>
      <c r="P46" s="14"/>
      <c r="Q46" s="73"/>
    </row>
    <row r="47" spans="1:18">
      <c r="A47" s="180">
        <v>5</v>
      </c>
      <c r="B47" s="180" t="s">
        <v>3292</v>
      </c>
      <c r="D47" s="206" t="s">
        <v>25</v>
      </c>
      <c r="E47" s="170" t="s">
        <v>26</v>
      </c>
      <c r="F47" s="201" t="s">
        <v>27</v>
      </c>
      <c r="G47" s="206" t="s">
        <v>28</v>
      </c>
      <c r="H47" s="378" t="s">
        <v>46</v>
      </c>
      <c r="I47" s="206" t="s">
        <v>29</v>
      </c>
      <c r="J47" s="206" t="s">
        <v>4605</v>
      </c>
      <c r="K47" s="220" t="s">
        <v>4597</v>
      </c>
      <c r="L47" s="220" t="s">
        <v>30</v>
      </c>
      <c r="M47" s="203" t="s">
        <v>31</v>
      </c>
      <c r="N47" s="203" t="s">
        <v>4637</v>
      </c>
      <c r="O47" s="14" t="s">
        <v>4639</v>
      </c>
      <c r="P47" s="14" t="s">
        <v>4599</v>
      </c>
      <c r="Q47" s="73"/>
    </row>
    <row r="48" spans="1:18" s="188" customFormat="1" ht="15">
      <c r="A48" s="209">
        <v>6</v>
      </c>
      <c r="B48" s="209" t="s">
        <v>4310</v>
      </c>
      <c r="D48" s="129" t="s">
        <v>1530</v>
      </c>
      <c r="E48" s="380" t="s">
        <v>208</v>
      </c>
      <c r="F48" s="129" t="s">
        <v>3224</v>
      </c>
      <c r="G48" s="14" t="s">
        <v>4600</v>
      </c>
      <c r="H48" s="132" t="s">
        <v>923</v>
      </c>
      <c r="I48" s="135" t="s">
        <v>1496</v>
      </c>
      <c r="J48" s="134" t="s">
        <v>4606</v>
      </c>
      <c r="K48" s="132" t="s">
        <v>4598</v>
      </c>
      <c r="L48" s="132" t="s">
        <v>1497</v>
      </c>
      <c r="M48" s="135" t="s">
        <v>3242</v>
      </c>
      <c r="N48" s="129" t="s">
        <v>4638</v>
      </c>
      <c r="O48" s="14" t="s">
        <v>4639</v>
      </c>
      <c r="P48" s="14" t="s">
        <v>4599</v>
      </c>
    </row>
    <row r="51" spans="1:15" s="190" customFormat="1">
      <c r="B51" s="190" t="s">
        <v>3287</v>
      </c>
      <c r="D51" s="190" t="str">
        <f>LOOKUP($A$1,'Lang Rig'!$A$3:$A$8,'Lang Rig'!D53:D58)</f>
        <v>SAILS</v>
      </c>
      <c r="E51" s="190" t="str">
        <f>LOOKUP($A$1,'Lang Rig'!$A$3:$A$8,'Lang Rig'!E53:E58)</f>
        <v>RIG CONFIGURATION</v>
      </c>
      <c r="F51" s="190" t="str">
        <f>LOOKUP($A$1,'Lang Rig'!$A$3:$A$8,'Lang Rig'!F53:F58)</f>
        <v>(no rating reduction for fewer than 3 spis)</v>
      </c>
      <c r="G51" s="190" t="str">
        <f>LOOKUP($A$1,'Lang Rig'!$A$3:$A$8,'Lang Rig'!G53:G58)</f>
        <v xml:space="preserve">If the boat has no running backstays, checkstays or adjustable backstay, tick here </v>
      </c>
      <c r="H51" s="190" t="str">
        <f>LOOKUP($A$1,'Lang Rig'!$A$3:$A$8,'Lang Rig'!H53:H58)</f>
        <v>Two masted rigs - see PART 2 for mizzen data</v>
      </c>
      <c r="I51" s="190" t="str">
        <f>LOOKUP($A$1,'Lang Rig'!$A$3:$A$8,'Lang Rig'!I53:I58)</f>
        <v>Mizzen upper limit</v>
      </c>
      <c r="J51" s="190" t="str">
        <f>LOOKUP($A$1,'Lang Rig'!$A$3:$A$8,'Lang Rig'!J53:J58)</f>
        <v>Mizzen outer limit</v>
      </c>
      <c r="K51" s="190" t="str">
        <f>LOOKUP($A$1,'Lang Rig'!$A$3:$A$8,'Lang Rig'!K53:K58)</f>
        <v>Sails must be measured by an approved measurer for Endorsed certificates</v>
      </c>
      <c r="L51" s="190" t="str">
        <f>LOOKUP($A$1,'Lang Rig'!$A$3:$A$8,'Lang Rig'!L53:L58)</f>
        <v>IF FURLING HEADSAIL FITTED answer the following questions:</v>
      </c>
      <c r="M51" s="190" t="str">
        <f>LOOKUP($A$1,'Lang Rig'!$A$3:$A$8,'Lang Rig'!M53:M58)</f>
        <v>Stored power for rig or sail adjustment</v>
      </c>
      <c r="N51" s="190" t="str">
        <f>LOOKUP($A$1,'Lang Rig'!$A$3:$A$8,'Lang Rig'!N53:N58)</f>
        <v>Systems to adjust the mast foot while racing</v>
      </c>
      <c r="O51" s="190" t="str">
        <f>LOOKUP($A$1,'Lang Rig'!$A$3:$A$7,'Lang Rig'!O53:O57)</f>
        <v>Systems to adjust the forestay length while racing</v>
      </c>
    </row>
    <row r="52" spans="1:15">
      <c r="D52" s="222"/>
      <c r="F52" s="221"/>
      <c r="G52" s="221"/>
    </row>
    <row r="53" spans="1:15">
      <c r="A53" s="180">
        <v>1</v>
      </c>
      <c r="B53" s="180" t="s">
        <v>3288</v>
      </c>
      <c r="D53" s="180" t="s">
        <v>2342</v>
      </c>
      <c r="E53" s="180" t="s">
        <v>2343</v>
      </c>
      <c r="F53" s="180" t="s">
        <v>3225</v>
      </c>
      <c r="G53" s="179" t="s">
        <v>4615</v>
      </c>
      <c r="H53" s="179" t="s">
        <v>4747</v>
      </c>
      <c r="I53" s="179" t="s">
        <v>4564</v>
      </c>
      <c r="J53" s="179" t="s">
        <v>4565</v>
      </c>
      <c r="K53" s="179" t="s">
        <v>4587</v>
      </c>
      <c r="L53" s="179" t="s">
        <v>4607</v>
      </c>
      <c r="M53" s="179" t="s">
        <v>4620</v>
      </c>
      <c r="N53" s="15" t="s">
        <v>4622</v>
      </c>
      <c r="O53" s="15" t="s">
        <v>4628</v>
      </c>
    </row>
    <row r="54" spans="1:15">
      <c r="A54" s="180">
        <v>2</v>
      </c>
      <c r="B54" s="180" t="s">
        <v>3289</v>
      </c>
      <c r="D54" s="180" t="s">
        <v>2344</v>
      </c>
      <c r="E54" s="180" t="s">
        <v>2347</v>
      </c>
      <c r="F54" s="544" t="s">
        <v>4733</v>
      </c>
      <c r="G54" s="544" t="s">
        <v>4616</v>
      </c>
      <c r="H54" s="179" t="s">
        <v>4748</v>
      </c>
      <c r="I54" s="179" t="s">
        <v>4751</v>
      </c>
      <c r="J54" s="179" t="s">
        <v>4790</v>
      </c>
      <c r="K54" s="179" t="s">
        <v>4757</v>
      </c>
      <c r="L54" s="179" t="s">
        <v>4760</v>
      </c>
      <c r="M54" s="179" t="s">
        <v>4763</v>
      </c>
      <c r="N54" s="14" t="s">
        <v>4623</v>
      </c>
      <c r="O54" s="544" t="s">
        <v>4625</v>
      </c>
    </row>
    <row r="55" spans="1:15">
      <c r="A55" s="180">
        <v>3</v>
      </c>
      <c r="B55" s="180" t="s">
        <v>3290</v>
      </c>
      <c r="D55" s="180" t="s">
        <v>2345</v>
      </c>
      <c r="E55" s="180" t="s">
        <v>2348</v>
      </c>
      <c r="F55" s="544" t="s">
        <v>4734</v>
      </c>
      <c r="G55" s="544" t="s">
        <v>4617</v>
      </c>
      <c r="H55" s="179" t="s">
        <v>4749</v>
      </c>
      <c r="I55" s="179" t="s">
        <v>4752</v>
      </c>
      <c r="J55" s="179" t="s">
        <v>4791</v>
      </c>
      <c r="K55" s="179" t="s">
        <v>4758</v>
      </c>
      <c r="L55" s="179" t="s">
        <v>4761</v>
      </c>
      <c r="M55" s="179" t="s">
        <v>4764</v>
      </c>
      <c r="N55" s="403" t="s">
        <v>4621</v>
      </c>
      <c r="O55" s="544" t="s">
        <v>4626</v>
      </c>
    </row>
    <row r="56" spans="1:15">
      <c r="A56" s="180">
        <v>4</v>
      </c>
      <c r="B56" s="180" t="s">
        <v>3291</v>
      </c>
      <c r="F56"/>
      <c r="G56"/>
      <c r="H56" s="179"/>
      <c r="I56" s="179"/>
      <c r="J56" s="420"/>
      <c r="K56" s="179"/>
      <c r="L56" s="179"/>
      <c r="M56" s="179"/>
      <c r="O56"/>
    </row>
    <row r="57" spans="1:15">
      <c r="A57" s="180">
        <v>5</v>
      </c>
      <c r="B57" s="180" t="s">
        <v>3292</v>
      </c>
      <c r="D57" s="180" t="s">
        <v>2346</v>
      </c>
      <c r="E57" s="180" t="s">
        <v>36</v>
      </c>
      <c r="F57" t="s">
        <v>4404</v>
      </c>
      <c r="G57" s="544" t="s">
        <v>4618</v>
      </c>
      <c r="H57" s="420" t="s">
        <v>4578</v>
      </c>
      <c r="I57" s="420" t="s">
        <v>4564</v>
      </c>
      <c r="J57" s="420" t="s">
        <v>4565</v>
      </c>
      <c r="K57" s="420" t="s">
        <v>4587</v>
      </c>
      <c r="L57" s="420" t="s">
        <v>4607</v>
      </c>
      <c r="M57" s="420" t="s">
        <v>4620</v>
      </c>
      <c r="N57" s="403" t="s">
        <v>4624</v>
      </c>
      <c r="O57" s="544" t="s">
        <v>4627</v>
      </c>
    </row>
    <row r="58" spans="1:15" ht="15">
      <c r="A58" s="209">
        <v>6</v>
      </c>
      <c r="B58" s="209" t="s">
        <v>4310</v>
      </c>
      <c r="D58" s="180" t="s">
        <v>2342</v>
      </c>
      <c r="E58" s="180" t="s">
        <v>2343</v>
      </c>
      <c r="F58" s="421" t="s">
        <v>1956</v>
      </c>
      <c r="G58" s="420" t="s">
        <v>4619</v>
      </c>
      <c r="H58" s="179" t="s">
        <v>4750</v>
      </c>
      <c r="I58" s="179" t="s">
        <v>4753</v>
      </c>
      <c r="J58" s="179" t="s">
        <v>4754</v>
      </c>
      <c r="K58" s="179" t="s">
        <v>4759</v>
      </c>
      <c r="L58" s="179" t="s">
        <v>4762</v>
      </c>
      <c r="M58" s="179" t="s">
        <v>4765</v>
      </c>
      <c r="N58" s="15" t="s">
        <v>4766</v>
      </c>
      <c r="O58" s="15" t="s">
        <v>4767</v>
      </c>
    </row>
    <row r="61" spans="1:15" s="190" customFormat="1">
      <c r="B61" s="190" t="s">
        <v>3287</v>
      </c>
      <c r="D61" s="190" t="str">
        <f>LOOKUP($A$1,'Lang Rig'!$A$3:$A$8,'Lang Rig'!D63:D68)</f>
        <v>Notes relating to mainsail widths</v>
      </c>
      <c r="E61" s="190" t="str">
        <f>LOOKUP($A$1,'Lang Rig'!$A$3:$A$8,'Lang Rig'!E63:E68)</f>
        <v>If no data is supplied, the following data will be used:</v>
      </c>
      <c r="F61" s="190" t="str">
        <f>LOOKUP($A$1,'Lang Rig'!$A$3:$A$8,'Lang Rig'!F63:F68)</f>
        <v>BLANK</v>
      </c>
      <c r="G61" s="190" t="str">
        <f>LOOKUP($A$1,'Lang Rig'!$A$3:$A$8,'Lang Rig'!G63:G68)</f>
        <v>*If not supplied HLUmax will be input as HLU. Please check definition and supply if any headsail has a luff length longer than HLU</v>
      </c>
      <c r="H61" s="190" t="str">
        <f>LOOKUP($A$1,'Lang Rig'!$A$3:$A$8,'Lang Rig'!H63:H68)</f>
        <v>Simple sail measurement guides (not applicable for Endorsed certificates)</v>
      </c>
      <c r="I61" s="190" t="str">
        <f>LOOKUP($A$1,'Lang Rig'!$A$3:$A$8,'Lang Rig'!I63:I68)</f>
        <v>E required for calculation</v>
      </c>
      <c r="J61" s="190" t="str">
        <f>LOOKUP($A$1,'Lang Rig'!$A$3:$A$8,'Lang Rig'!J63:J68)</f>
        <v>If the sizes of your sails are LARGER than this then you MUST supply the actual data as per Rule 21.5.2</v>
      </c>
      <c r="K61" s="190" t="str">
        <f>LOOKUP($A$1,'Lang Rig'!$A$3:$A$8,'Lang Rig'!K63:K68)</f>
        <v>If the sizes of your sails are SMALLER than this then it is in your interests to supply the actual data.</v>
      </c>
      <c r="L61" s="190" t="str">
        <f>LOOKUP($A$1,'Lang Rig'!$A$3:$A$8,'Lang Rig'!L63:L68)</f>
        <v>Ensure you have supplied STL</v>
      </c>
      <c r="M61" s="190" t="str">
        <f>LOOKUP($A$1,'Lang Rig'!$A$3:$A$8,'Lang Rig'!M63:M68)</f>
        <v>We recommend measurement by a sailmaker or measurer but self-measurement is acceptable for standard certificates</v>
      </c>
    </row>
    <row r="63" spans="1:15">
      <c r="A63" s="180">
        <v>1</v>
      </c>
      <c r="B63" s="180" t="s">
        <v>3288</v>
      </c>
      <c r="D63" s="180" t="s">
        <v>2337</v>
      </c>
      <c r="E63" s="180" t="s">
        <v>4374</v>
      </c>
      <c r="F63" s="180" t="s">
        <v>2351</v>
      </c>
      <c r="G63" s="179" t="s">
        <v>4580</v>
      </c>
      <c r="H63" s="180" t="s">
        <v>859</v>
      </c>
      <c r="I63" s="180" t="s">
        <v>2445</v>
      </c>
      <c r="J63" s="180" t="s">
        <v>4381</v>
      </c>
      <c r="K63" s="180" t="s">
        <v>3781</v>
      </c>
      <c r="L63" s="178" t="s">
        <v>2524</v>
      </c>
      <c r="M63" s="49" t="s">
        <v>860</v>
      </c>
    </row>
    <row r="64" spans="1:15">
      <c r="A64" s="180">
        <v>2</v>
      </c>
      <c r="B64" s="180" t="s">
        <v>3289</v>
      </c>
      <c r="D64" s="180" t="s">
        <v>2336</v>
      </c>
      <c r="E64" s="180" t="s">
        <v>2338</v>
      </c>
      <c r="G64" s="544" t="s">
        <v>4581</v>
      </c>
      <c r="H64" s="2" t="s">
        <v>1922</v>
      </c>
      <c r="I64" s="180" t="s">
        <v>2536</v>
      </c>
      <c r="J64" s="180" t="s">
        <v>2446</v>
      </c>
      <c r="K64" s="180" t="s">
        <v>889</v>
      </c>
      <c r="L64" s="180" t="s">
        <v>2525</v>
      </c>
      <c r="M64" s="544" t="s">
        <v>1923</v>
      </c>
    </row>
    <row r="65" spans="1:15">
      <c r="A65" s="180">
        <v>3</v>
      </c>
      <c r="B65" s="180" t="s">
        <v>3290</v>
      </c>
      <c r="D65" s="180" t="s">
        <v>428</v>
      </c>
      <c r="E65" s="180" t="s">
        <v>423</v>
      </c>
      <c r="G65" s="544" t="s">
        <v>4582</v>
      </c>
      <c r="H65" s="2" t="s">
        <v>1938</v>
      </c>
      <c r="I65" s="180" t="s">
        <v>678</v>
      </c>
      <c r="J65" s="180" t="s">
        <v>167</v>
      </c>
      <c r="K65" s="180" t="s">
        <v>168</v>
      </c>
      <c r="L65" s="180" t="s">
        <v>2526</v>
      </c>
      <c r="M65" s="544" t="s">
        <v>4728</v>
      </c>
    </row>
    <row r="66" spans="1:15">
      <c r="A66" s="180">
        <v>4</v>
      </c>
      <c r="B66" s="180" t="s">
        <v>3291</v>
      </c>
      <c r="H66" s="180" t="s">
        <v>859</v>
      </c>
      <c r="M66" s="304"/>
    </row>
    <row r="67" spans="1:15">
      <c r="A67" s="180">
        <v>5</v>
      </c>
      <c r="B67" s="180" t="s">
        <v>3292</v>
      </c>
      <c r="D67" s="180" t="s">
        <v>429</v>
      </c>
      <c r="E67" s="180" t="s">
        <v>424</v>
      </c>
      <c r="G67" s="544" t="s">
        <v>4583</v>
      </c>
      <c r="H67" s="378" t="s">
        <v>42</v>
      </c>
      <c r="I67" s="180" t="s">
        <v>108</v>
      </c>
      <c r="J67" s="180" t="s">
        <v>169</v>
      </c>
      <c r="K67" s="180" t="s">
        <v>119</v>
      </c>
      <c r="L67" s="180" t="s">
        <v>2527</v>
      </c>
      <c r="M67" s="2" t="s">
        <v>43</v>
      </c>
    </row>
    <row r="68" spans="1:15" s="189" customFormat="1" ht="15">
      <c r="A68" s="209">
        <v>6</v>
      </c>
      <c r="B68" s="209" t="s">
        <v>4310</v>
      </c>
      <c r="C68" s="174"/>
      <c r="D68" s="174" t="s">
        <v>4053</v>
      </c>
      <c r="E68" s="174" t="s">
        <v>3518</v>
      </c>
      <c r="F68" s="174"/>
      <c r="G68" s="174" t="s">
        <v>4584</v>
      </c>
      <c r="H68" s="174" t="s">
        <v>920</v>
      </c>
      <c r="I68" s="174" t="s">
        <v>3519</v>
      </c>
      <c r="J68" s="174" t="s">
        <v>3520</v>
      </c>
      <c r="K68" s="174" t="s">
        <v>3869</v>
      </c>
      <c r="L68" s="174" t="s">
        <v>3872</v>
      </c>
      <c r="M68" s="174" t="s">
        <v>921</v>
      </c>
      <c r="N68" s="174"/>
      <c r="O68" s="174"/>
    </row>
  </sheetData>
  <sheetProtection password="C620" sheet="1"/>
  <phoneticPr fontId="19"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U38"/>
  <sheetViews>
    <sheetView topLeftCell="C1" workbookViewId="0">
      <selection activeCell="H8" sqref="H8"/>
    </sheetView>
  </sheetViews>
  <sheetFormatPr defaultRowHeight="12.75"/>
  <cols>
    <col min="1" max="1" width="2" style="180" bestFit="1" customWidth="1"/>
    <col min="2" max="2" width="11.42578125" style="180" bestFit="1" customWidth="1"/>
    <col min="3" max="3" width="9.140625" style="180"/>
    <col min="4" max="4" width="32.7109375" style="49" customWidth="1"/>
    <col min="5" max="5" width="29" style="180" customWidth="1"/>
    <col min="6" max="6" width="12.140625" style="180" customWidth="1"/>
    <col min="7" max="9" width="9.140625" style="180"/>
    <col min="10" max="10" width="43.7109375" style="180" customWidth="1"/>
    <col min="11" max="16384" width="9.140625" style="180"/>
  </cols>
  <sheetData>
    <row r="1" spans="1:21" s="190" customFormat="1">
      <c r="A1" s="190">
        <f>Application!H404</f>
        <v>1</v>
      </c>
      <c r="B1" s="190" t="s">
        <v>3287</v>
      </c>
      <c r="D1" s="190" t="str">
        <f>LOOKUP($A$1,'Lang Other'!$A$3:$A$8,'Lang Other'!D3:D8)</f>
        <v>ENGINE &amp; PROPELLER</v>
      </c>
      <c r="E1" s="190" t="str">
        <f>LOOKUP($A$1,'Lang Other'!$A$3:$A$8,'Lang Other'!E3:E8)</f>
        <v>Engine type</v>
      </c>
      <c r="F1" s="190" t="str">
        <f>LOOKUP($A$1,'Lang Other'!$A$3:$A$8,'Lang Other'!F3:F8)</f>
        <v>Engine weight</v>
      </c>
      <c r="G1" s="190" t="str">
        <f>LOOKUP($A$1,'Lang Other'!$A$3:$A$8,'Lang Other'!G3:G8)</f>
        <v>Make, model &amp; horsepower :</v>
      </c>
      <c r="H1" s="190" t="str">
        <f>LOOKUP($A$1,'Lang Other'!$A$3:$A$8,'Lang Other'!H3:H8)</f>
        <v>Propeller type</v>
      </c>
      <c r="I1" s="190" t="str">
        <f>LOOKUP($A$1,'Lang Other'!$A$3:$A$8,'Lang Other'!I3:I8)</f>
        <v>No. of blades</v>
      </c>
      <c r="J1" s="190" t="str">
        <f>LOOKUP($A$1,'Lang Other'!$A$3:$A$8,'Lang Other'!J3:J8)</f>
        <v>default for inboard = 2</v>
      </c>
      <c r="K1" s="190" t="str">
        <f>LOOKUP($A$1,'Lang Other'!$A$3:$A$8,'Lang Other'!K3:K8)</f>
        <v>No. of propellers</v>
      </c>
      <c r="L1" s="190" t="str">
        <f>LOOKUP($A$1,'Lang Other'!$A$3:$A$8,'Lang Other'!L3:L8)</f>
        <v>STANDARD FITOUT</v>
      </c>
      <c r="M1" s="190" t="str">
        <f>LOOKUP($A$1,'Lang Other'!$A$3:$A$8,'Lang Other'!M3:M8)</f>
        <v>Please give details of any standard furniture removed or altered</v>
      </c>
      <c r="N1" s="190" t="str">
        <f>LOOKUP($A$1,'Lang Other'!$A$3:$A$8,'Lang Other'!N3:N8)</f>
        <v>Table removed</v>
      </c>
      <c r="O1" s="190" t="str">
        <f>LOOKUP($A$1,'Lang Other'!$A$3:$A$8,'Lang Other'!O3:O8)</f>
        <v>or: non-standard table?</v>
      </c>
      <c r="P1" s="190" t="str">
        <f>LOOKUP($A$1,'Lang Other'!$A$3:$A$8,'Lang Other'!P3:P8)</f>
        <v>Door(s) removed?</v>
      </c>
      <c r="Q1" s="190" t="str">
        <f>LOOKUP($A$1,'Lang Other'!$A$3:$A$8,'Lang Other'!Q3:Q8)</f>
        <v>If Yes, how many?</v>
      </c>
      <c r="R1" s="190" t="str">
        <f>LOOKUP($A$1,'Lang Other'!$A$3:$A$8,'Lang Other'!R3:R8)</f>
        <v>Other items</v>
      </c>
      <c r="S1" s="190" t="str">
        <f>LOOKUP($A$1,'Lang Other'!$A$3:$A$8,'Lang Other'!S3:S8)</f>
        <v>If Yes, give details</v>
      </c>
      <c r="T1" s="190" t="str">
        <f>LOOKUP($A$1,'Lang Other'!$A$3:$A$8,'Lang Other'!T3:T8)</f>
        <v>Rule ref 22.2.2 (HF+)</v>
      </c>
      <c r="U1" s="190" t="str">
        <f>LOOKUP($A$1,'Lang Other'!$A$3:$A$7,'Lang Other'!U3:U7)</f>
        <v>Standard furniture removed or altered</v>
      </c>
    </row>
    <row r="3" spans="1:21">
      <c r="A3" s="180">
        <v>1</v>
      </c>
      <c r="B3" s="180" t="s">
        <v>3288</v>
      </c>
      <c r="D3" s="15" t="s">
        <v>647</v>
      </c>
      <c r="E3" s="14" t="s">
        <v>3334</v>
      </c>
      <c r="F3" s="14" t="s">
        <v>2464</v>
      </c>
      <c r="G3" s="15" t="s">
        <v>648</v>
      </c>
      <c r="H3" s="65" t="s">
        <v>2869</v>
      </c>
      <c r="I3" s="15" t="s">
        <v>2863</v>
      </c>
      <c r="J3" s="200" t="s">
        <v>2557</v>
      </c>
      <c r="K3" s="15" t="s">
        <v>2862</v>
      </c>
      <c r="L3" s="15" t="s">
        <v>2329</v>
      </c>
      <c r="M3" s="16" t="s">
        <v>865</v>
      </c>
      <c r="N3" s="17" t="s">
        <v>866</v>
      </c>
      <c r="O3" s="15" t="s">
        <v>2936</v>
      </c>
      <c r="P3" s="17" t="s">
        <v>4820</v>
      </c>
      <c r="Q3" s="17" t="s">
        <v>873</v>
      </c>
      <c r="R3" s="17" t="s">
        <v>878</v>
      </c>
      <c r="S3" s="17" t="s">
        <v>883</v>
      </c>
      <c r="T3" s="15" t="s">
        <v>2529</v>
      </c>
      <c r="U3" s="16" t="s">
        <v>4632</v>
      </c>
    </row>
    <row r="4" spans="1:21">
      <c r="A4" s="180">
        <v>2</v>
      </c>
      <c r="B4" s="180" t="s">
        <v>3289</v>
      </c>
      <c r="D4" s="14" t="s">
        <v>983</v>
      </c>
      <c r="E4" s="14" t="s">
        <v>4184</v>
      </c>
      <c r="F4" s="14" t="s">
        <v>4633</v>
      </c>
      <c r="G4" s="14" t="s">
        <v>4185</v>
      </c>
      <c r="H4" s="182" t="s">
        <v>2870</v>
      </c>
      <c r="I4" s="182" t="s">
        <v>2864</v>
      </c>
      <c r="J4" s="182" t="s">
        <v>1538</v>
      </c>
      <c r="K4" s="14" t="s">
        <v>2867</v>
      </c>
      <c r="L4" s="182" t="s">
        <v>1415</v>
      </c>
      <c r="M4" s="2" t="s">
        <v>1927</v>
      </c>
      <c r="N4" s="14" t="s">
        <v>868</v>
      </c>
      <c r="O4" s="14" t="s">
        <v>4186</v>
      </c>
      <c r="P4" s="14" t="s">
        <v>4821</v>
      </c>
      <c r="Q4" s="14" t="s">
        <v>874</v>
      </c>
      <c r="R4" s="14" t="s">
        <v>879</v>
      </c>
      <c r="S4" s="14" t="s">
        <v>884</v>
      </c>
      <c r="T4" s="14" t="s">
        <v>2530</v>
      </c>
      <c r="U4" s="544" t="s">
        <v>4629</v>
      </c>
    </row>
    <row r="5" spans="1:21">
      <c r="A5" s="180">
        <v>3</v>
      </c>
      <c r="B5" s="180" t="s">
        <v>3290</v>
      </c>
      <c r="D5" s="177" t="s">
        <v>3976</v>
      </c>
      <c r="E5" s="201" t="s">
        <v>3977</v>
      </c>
      <c r="F5" s="201" t="s">
        <v>3978</v>
      </c>
      <c r="G5" s="177" t="s">
        <v>2469</v>
      </c>
      <c r="H5" s="170" t="s">
        <v>2871</v>
      </c>
      <c r="I5" s="177" t="s">
        <v>2865</v>
      </c>
      <c r="J5" s="202" t="s">
        <v>2470</v>
      </c>
      <c r="K5" s="177" t="s">
        <v>2868</v>
      </c>
      <c r="L5" s="177" t="s">
        <v>2471</v>
      </c>
      <c r="M5" s="2" t="s">
        <v>1128</v>
      </c>
      <c r="N5" s="206" t="s">
        <v>869</v>
      </c>
      <c r="O5" s="177" t="s">
        <v>1900</v>
      </c>
      <c r="P5" s="206" t="s">
        <v>1901</v>
      </c>
      <c r="Q5" s="206"/>
      <c r="R5" s="206" t="s">
        <v>880</v>
      </c>
      <c r="S5" s="206" t="s">
        <v>885</v>
      </c>
      <c r="T5" s="177" t="s">
        <v>2531</v>
      </c>
      <c r="U5" s="544" t="s">
        <v>4631</v>
      </c>
    </row>
    <row r="6" spans="1:21">
      <c r="A6" s="180">
        <v>4</v>
      </c>
      <c r="B6" s="180" t="s">
        <v>3291</v>
      </c>
      <c r="D6" s="15"/>
      <c r="E6" s="14"/>
      <c r="F6" s="14"/>
      <c r="G6" s="15"/>
      <c r="H6" s="65"/>
      <c r="I6" s="15"/>
      <c r="J6" s="200"/>
      <c r="K6" s="15"/>
      <c r="L6" s="15"/>
      <c r="M6" s="16"/>
      <c r="N6" s="17"/>
      <c r="O6" s="15"/>
      <c r="P6" s="17"/>
      <c r="Q6" s="17"/>
      <c r="R6" s="17"/>
      <c r="S6" s="17"/>
      <c r="T6" s="15"/>
      <c r="U6" s="16"/>
    </row>
    <row r="7" spans="1:21">
      <c r="A7" s="180">
        <v>5</v>
      </c>
      <c r="B7" s="180" t="s">
        <v>3292</v>
      </c>
      <c r="D7" s="177" t="s">
        <v>1960</v>
      </c>
      <c r="E7" s="201" t="s">
        <v>1961</v>
      </c>
      <c r="F7" s="201" t="s">
        <v>4634</v>
      </c>
      <c r="G7" s="177" t="s">
        <v>1962</v>
      </c>
      <c r="H7" s="170" t="s">
        <v>2872</v>
      </c>
      <c r="I7" s="177" t="s">
        <v>2866</v>
      </c>
      <c r="J7" s="202" t="s">
        <v>1963</v>
      </c>
      <c r="K7" s="177" t="s">
        <v>2867</v>
      </c>
      <c r="L7" s="177" t="s">
        <v>3536</v>
      </c>
      <c r="M7" s="378" t="s">
        <v>47</v>
      </c>
      <c r="N7" s="206" t="s">
        <v>870</v>
      </c>
      <c r="O7" s="177" t="s">
        <v>3537</v>
      </c>
      <c r="P7" s="206" t="s">
        <v>4822</v>
      </c>
      <c r="Q7" s="206" t="s">
        <v>875</v>
      </c>
      <c r="R7" s="206" t="s">
        <v>881</v>
      </c>
      <c r="S7" s="206" t="s">
        <v>886</v>
      </c>
      <c r="T7" s="177" t="s">
        <v>2532</v>
      </c>
      <c r="U7" s="378" t="s">
        <v>4630</v>
      </c>
    </row>
    <row r="8" spans="1:21" s="188" customFormat="1" ht="15">
      <c r="A8" s="195">
        <v>6</v>
      </c>
      <c r="B8" s="195" t="s">
        <v>4310</v>
      </c>
      <c r="C8" s="207"/>
      <c r="D8" s="135" t="s">
        <v>647</v>
      </c>
      <c r="E8" s="133" t="s">
        <v>3334</v>
      </c>
      <c r="F8" s="133" t="s">
        <v>2464</v>
      </c>
      <c r="G8" s="135" t="s">
        <v>648</v>
      </c>
      <c r="H8" s="129" t="s">
        <v>2869</v>
      </c>
      <c r="I8" s="135" t="s">
        <v>2863</v>
      </c>
      <c r="J8" s="230" t="s">
        <v>2557</v>
      </c>
      <c r="K8" s="135" t="s">
        <v>579</v>
      </c>
      <c r="L8" s="135" t="s">
        <v>2329</v>
      </c>
      <c r="M8" s="132" t="s">
        <v>924</v>
      </c>
      <c r="N8" s="132" t="s">
        <v>866</v>
      </c>
      <c r="O8" s="135" t="s">
        <v>3320</v>
      </c>
      <c r="P8" s="132" t="s">
        <v>4823</v>
      </c>
      <c r="Q8" s="132" t="s">
        <v>876</v>
      </c>
      <c r="R8" s="132" t="s">
        <v>882</v>
      </c>
      <c r="S8" s="132" t="s">
        <v>887</v>
      </c>
      <c r="T8" s="135" t="s">
        <v>2533</v>
      </c>
      <c r="U8" s="132" t="s">
        <v>4768</v>
      </c>
    </row>
    <row r="11" spans="1:21" s="190" customFormat="1">
      <c r="A11" s="190">
        <f>Application!H413</f>
        <v>0</v>
      </c>
      <c r="B11" s="190" t="s">
        <v>3287</v>
      </c>
      <c r="D11" s="190" t="str">
        <f>LOOKUP($A$1,'Lang Other'!$A$3:$A$8,'Lang Other'!D13:D18)</f>
        <v>STORED POWER &amp; RIG ADJUSTMENT</v>
      </c>
      <c r="E11" s="190" t="str">
        <f>LOOKUP($A$1,'Lang Other'!$A$3:$A$8,'Lang Other'!E13:E18)</f>
        <v>Does the boat use stored power for the operation or adjustment of running rigging (excluding mainsail halyard or the reefing or furling of sails)?</v>
      </c>
      <c r="F11" s="190">
        <f>LOOKUP($A$1,'Lang Other'!$A$3:$A$8,'Lang Other'!F13:F18)</f>
        <v>0</v>
      </c>
      <c r="G11" s="190" t="str">
        <f>LOOKUP($A$1,'Lang Other'!$A$3:$A$8,'Lang Other'!G13:G18)</f>
        <v>MAST FOOT: is your boat fitted with or carrying aboard systems to adjust the mast foot while racing?</v>
      </c>
      <c r="H11" s="190">
        <f>LOOKUP($A$1,'Lang Other'!$A$3:$A$8,'Lang Other'!H13:H18)</f>
        <v>0</v>
      </c>
      <c r="I11" s="190" t="str">
        <f>LOOKUP($A$1,'Lang Other'!$A$3:$A$8,'Lang Other'!I13:I18)</f>
        <v>FORESTAY: is your boat fitted with or carrying aboard systems to adjust the forestay length while racing?</v>
      </c>
      <c r="J11" s="190" t="str">
        <f>LOOKUP($A$1,'Lang Other'!$A$3:$A$8,'Lang Other'!J13:J18)</f>
        <v>CHANGES TO ORIGINAL SPECIFICATION / OPTIONAL EXTRAS</v>
      </c>
      <c r="K11" s="190" t="str">
        <f>LOOKUP($A$1,'Lang Other'!$A$3:$A$8,'Lang Other'!K13:K18)</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231"/>
      <c r="M11" s="231"/>
      <c r="N11" s="231"/>
    </row>
    <row r="12" spans="1:21">
      <c r="F12" s="63"/>
      <c r="H12" s="63"/>
      <c r="L12" s="63"/>
      <c r="M12" s="63"/>
      <c r="N12" s="63"/>
    </row>
    <row r="13" spans="1:21">
      <c r="A13" s="180">
        <v>1</v>
      </c>
      <c r="B13" s="180" t="s">
        <v>3288</v>
      </c>
      <c r="D13" s="15" t="s">
        <v>2330</v>
      </c>
      <c r="E13" s="16" t="s">
        <v>4609</v>
      </c>
      <c r="F13" s="75"/>
      <c r="G13" s="15" t="s">
        <v>4642</v>
      </c>
      <c r="H13" s="18"/>
      <c r="I13" s="15" t="s">
        <v>4397</v>
      </c>
      <c r="J13" s="15" t="s">
        <v>1575</v>
      </c>
      <c r="K13" s="223" t="s">
        <v>1042</v>
      </c>
      <c r="L13" s="75"/>
      <c r="M13" s="76"/>
      <c r="N13" s="75"/>
      <c r="O13" s="223"/>
      <c r="P13" s="223"/>
      <c r="Q13" s="223"/>
    </row>
    <row r="14" spans="1:21">
      <c r="A14" s="180">
        <v>2</v>
      </c>
      <c r="B14" s="180" t="s">
        <v>3289</v>
      </c>
      <c r="D14" s="14" t="s">
        <v>4015</v>
      </c>
      <c r="E14" s="407" t="s">
        <v>4610</v>
      </c>
      <c r="F14" s="77"/>
      <c r="G14" s="14" t="s">
        <v>4643</v>
      </c>
      <c r="H14" s="78"/>
      <c r="I14" t="s">
        <v>4405</v>
      </c>
      <c r="J14" s="182" t="s">
        <v>888</v>
      </c>
      <c r="K14" s="182" t="s">
        <v>2146</v>
      </c>
      <c r="L14" s="77"/>
      <c r="M14" s="78"/>
      <c r="N14" s="77"/>
      <c r="O14" s="125"/>
      <c r="P14" s="125"/>
      <c r="Q14" s="125"/>
      <c r="R14" s="194"/>
      <c r="S14" s="194"/>
      <c r="T14" s="194"/>
    </row>
    <row r="15" spans="1:21">
      <c r="A15" s="180">
        <v>3</v>
      </c>
      <c r="B15" s="180" t="s">
        <v>3290</v>
      </c>
      <c r="D15" s="177" t="s">
        <v>1902</v>
      </c>
      <c r="E15" s="403" t="s">
        <v>4611</v>
      </c>
      <c r="F15" s="185"/>
      <c r="G15" s="403" t="s">
        <v>4644</v>
      </c>
      <c r="H15" s="185"/>
      <c r="I15" t="s">
        <v>4406</v>
      </c>
      <c r="J15" s="403" t="s">
        <v>4769</v>
      </c>
      <c r="K15" s="185" t="s">
        <v>1133</v>
      </c>
    </row>
    <row r="16" spans="1:21">
      <c r="A16" s="180">
        <v>4</v>
      </c>
      <c r="B16" s="180" t="s">
        <v>3291</v>
      </c>
      <c r="D16" s="15"/>
      <c r="H16" s="15"/>
      <c r="I16"/>
      <c r="J16" s="15"/>
      <c r="K16" s="15"/>
    </row>
    <row r="17" spans="1:20">
      <c r="A17" s="180">
        <v>5</v>
      </c>
      <c r="B17" s="180" t="s">
        <v>3292</v>
      </c>
      <c r="D17" s="177" t="s">
        <v>3754</v>
      </c>
      <c r="E17" s="403" t="s">
        <v>4612</v>
      </c>
      <c r="F17" s="185"/>
      <c r="G17" s="403" t="s">
        <v>4645</v>
      </c>
      <c r="H17" s="177"/>
      <c r="I17" t="s">
        <v>4407</v>
      </c>
      <c r="J17" s="177" t="s">
        <v>3339</v>
      </c>
      <c r="K17" s="177" t="s">
        <v>1048</v>
      </c>
    </row>
    <row r="18" spans="1:20" s="188" customFormat="1" ht="15">
      <c r="A18" s="195">
        <v>6</v>
      </c>
      <c r="B18" s="195" t="s">
        <v>4310</v>
      </c>
      <c r="C18" s="207"/>
      <c r="D18" s="15" t="s">
        <v>931</v>
      </c>
      <c r="E18" s="590" t="s">
        <v>4613</v>
      </c>
      <c r="F18" s="75"/>
      <c r="G18" s="15" t="s">
        <v>4646</v>
      </c>
      <c r="H18" s="18"/>
      <c r="I18" s="15" t="s">
        <v>578</v>
      </c>
      <c r="J18" s="15" t="s">
        <v>4770</v>
      </c>
      <c r="K18" s="132" t="s">
        <v>4309</v>
      </c>
    </row>
    <row r="19" spans="1:20">
      <c r="D19" s="177"/>
      <c r="E19" s="185"/>
      <c r="F19" s="185"/>
      <c r="G19" s="185"/>
      <c r="H19" s="177"/>
      <c r="I19" s="177"/>
      <c r="J19" s="177"/>
      <c r="K19" s="177"/>
    </row>
    <row r="20" spans="1:20">
      <c r="H20" s="15"/>
      <c r="I20" s="15"/>
      <c r="J20" s="15"/>
      <c r="K20" s="15"/>
      <c r="M20" s="223"/>
      <c r="N20" s="223"/>
      <c r="O20" s="223"/>
      <c r="P20" s="223"/>
      <c r="Q20" s="223"/>
      <c r="R20" s="222"/>
      <c r="S20" s="222"/>
    </row>
    <row r="21" spans="1:20" s="190" customFormat="1">
      <c r="A21" s="190" t="e">
        <f>Application!#REF!</f>
        <v>#REF!</v>
      </c>
      <c r="B21" s="190" t="s">
        <v>3287</v>
      </c>
      <c r="D21" s="190" t="str">
        <f>LOOKUP($A$1,'Lang Other'!$A$3:$A$8,'Lang Other'!D23:D28)</f>
        <v>DECLARATION</v>
      </c>
      <c r="E21" s="190" t="str">
        <f>LOOKUP($A$1,'Lang Other'!$A$3:$A$8,'Lang Other'!E23:E28)</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90" t="str">
        <f>LOOKUP($A$1,'Lang Other'!$A$3:$A$8,'Lang Other'!F23:F28)</f>
        <v>Tick box to show that you have read and accept the above</v>
      </c>
      <c r="G21" s="190" t="str">
        <f>LOOKUP($A$1,'Lang Other'!$A$3:$A$8,'Lang Other'!G23:G28)</f>
        <v>Name</v>
      </c>
      <c r="H21" s="190" t="str">
        <f>LOOKUP($A$1,'Lang Other'!$A$3:$A$8,'Lang Other'!H23:H28)</f>
        <v>Date</v>
      </c>
      <c r="I21" s="190" t="str">
        <f>LOOKUP($A$1,'Lang Other'!$A$3:$A$8,'Lang Other'!I23:I28)</f>
        <v>The IRC Rating Authority will never supply IRC owner contact details to third parties</v>
      </c>
      <c r="J21" s="190">
        <f>LOOKUP($A$1,'Lang Other'!$A$3:$A$8,'Lang Other'!J23:J28)</f>
        <v>0</v>
      </c>
      <c r="K21" s="190" t="str">
        <f>LOOKUP($A$1,'Lang Other'!$A$3:$A$8,'Lang Other'!K23:K28)</f>
        <v>Measurer(s) Name / Number (if applicable)</v>
      </c>
      <c r="L21" s="190">
        <f>LOOKUP($A$1,'Lang Other'!$A$3:$A$7,'Lang Other'!L23:L27)</f>
        <v>0</v>
      </c>
      <c r="M21" s="208"/>
      <c r="N21" s="208"/>
      <c r="O21" s="208"/>
      <c r="P21" s="208"/>
      <c r="Q21" s="208"/>
      <c r="R21" s="208"/>
      <c r="S21" s="208"/>
    </row>
    <row r="22" spans="1:20">
      <c r="J22" s="63"/>
      <c r="M22" s="223"/>
      <c r="N22" s="223"/>
      <c r="O22" s="223"/>
      <c r="P22" s="223"/>
      <c r="Q22" s="223"/>
      <c r="R22" s="223"/>
      <c r="S22" s="223"/>
    </row>
    <row r="23" spans="1:20">
      <c r="A23" s="180">
        <v>1</v>
      </c>
      <c r="B23" s="180" t="s">
        <v>3288</v>
      </c>
      <c r="D23" s="15" t="s">
        <v>3335</v>
      </c>
      <c r="E23" s="81" t="s">
        <v>1571</v>
      </c>
      <c r="F23" s="81" t="s">
        <v>183</v>
      </c>
      <c r="G23" s="15" t="s">
        <v>3337</v>
      </c>
      <c r="H23" s="15" t="s">
        <v>3338</v>
      </c>
      <c r="I23" s="81" t="s">
        <v>4652</v>
      </c>
      <c r="J23" s="79"/>
      <c r="K23" s="16" t="s">
        <v>4653</v>
      </c>
      <c r="L23" s="16"/>
      <c r="M23" s="224"/>
      <c r="N23" s="224"/>
      <c r="O23" s="224"/>
    </row>
    <row r="24" spans="1:20" s="181" customFormat="1">
      <c r="A24" s="181">
        <v>2</v>
      </c>
      <c r="B24" s="181" t="s">
        <v>3289</v>
      </c>
      <c r="D24" s="14" t="s">
        <v>3335</v>
      </c>
      <c r="E24" s="212" t="s">
        <v>2770</v>
      </c>
      <c r="F24" s="205" t="s">
        <v>4016</v>
      </c>
      <c r="G24" s="181" t="s">
        <v>4017</v>
      </c>
      <c r="H24" s="181" t="s">
        <v>3338</v>
      </c>
      <c r="I24" s="81" t="s">
        <v>4739</v>
      </c>
      <c r="K24" s="466" t="s">
        <v>4654</v>
      </c>
      <c r="O24" s="181" t="s">
        <v>2157</v>
      </c>
      <c r="P24" s="181" t="s">
        <v>2158</v>
      </c>
      <c r="R24" s="181" t="s">
        <v>2159</v>
      </c>
      <c r="T24" s="181" t="s">
        <v>2160</v>
      </c>
    </row>
    <row r="25" spans="1:20">
      <c r="A25" s="180">
        <v>3</v>
      </c>
      <c r="B25" s="180" t="s">
        <v>3290</v>
      </c>
      <c r="D25" s="226" t="s">
        <v>1903</v>
      </c>
      <c r="E25" s="227" t="s">
        <v>1134</v>
      </c>
      <c r="F25" s="227" t="s">
        <v>3275</v>
      </c>
      <c r="G25" s="227" t="s">
        <v>3276</v>
      </c>
      <c r="H25" s="227" t="s">
        <v>3277</v>
      </c>
      <c r="I25" s="81" t="s">
        <v>4740</v>
      </c>
      <c r="J25" s="227"/>
      <c r="K25" s="185" t="s">
        <v>1623</v>
      </c>
    </row>
    <row r="26" spans="1:20">
      <c r="A26" s="180">
        <v>4</v>
      </c>
      <c r="B26" s="180" t="s">
        <v>3291</v>
      </c>
      <c r="E26" s="181"/>
      <c r="F26" s="181"/>
      <c r="G26" s="181"/>
      <c r="H26" s="181"/>
      <c r="I26" s="81"/>
      <c r="J26" s="181"/>
    </row>
    <row r="27" spans="1:20">
      <c r="A27" s="180">
        <v>5</v>
      </c>
      <c r="B27" s="180" t="s">
        <v>3292</v>
      </c>
      <c r="D27" s="226" t="s">
        <v>2198</v>
      </c>
      <c r="E27" s="185" t="s">
        <v>1622</v>
      </c>
      <c r="F27" s="185" t="s">
        <v>2199</v>
      </c>
      <c r="G27" s="185" t="s">
        <v>2200</v>
      </c>
      <c r="H27" s="185" t="s">
        <v>2201</v>
      </c>
      <c r="I27" s="679" t="s">
        <v>4652</v>
      </c>
      <c r="J27" s="185"/>
      <c r="K27" s="403" t="s">
        <v>4655</v>
      </c>
    </row>
    <row r="28" spans="1:20" s="188" customFormat="1" ht="15">
      <c r="A28" s="195">
        <v>6</v>
      </c>
      <c r="B28" s="195" t="s">
        <v>4310</v>
      </c>
      <c r="C28" s="207"/>
      <c r="D28" s="135" t="s">
        <v>4311</v>
      </c>
      <c r="E28" s="132" t="s">
        <v>4312</v>
      </c>
      <c r="F28" s="132" t="s">
        <v>4313</v>
      </c>
      <c r="G28" s="135" t="s">
        <v>4314</v>
      </c>
      <c r="H28" s="135" t="s">
        <v>4315</v>
      </c>
      <c r="I28" s="81" t="s">
        <v>4652</v>
      </c>
      <c r="J28" s="136"/>
      <c r="K28" s="132" t="s">
        <v>4316</v>
      </c>
      <c r="L28" s="132"/>
      <c r="M28" s="135"/>
      <c r="N28" s="135"/>
      <c r="O28" s="135"/>
    </row>
    <row r="29" spans="1:20">
      <c r="D29" s="226"/>
      <c r="E29" s="185"/>
      <c r="F29" s="185"/>
      <c r="G29" s="185"/>
      <c r="H29" s="185"/>
      <c r="I29" s="185"/>
      <c r="J29" s="185"/>
      <c r="K29" s="185"/>
    </row>
    <row r="31" spans="1:20" s="190" customFormat="1">
      <c r="A31" s="190">
        <f>Application!H431</f>
        <v>0</v>
      </c>
      <c r="B31" s="190" t="s">
        <v>3287</v>
      </c>
      <c r="D31" s="190" t="str">
        <f>LOOKUP($A$1,'Lang Other'!$A$3:$A$8,'Lang Other'!D33:D38)</f>
        <v>Your certificate will be e-mailed in PDF format to the email address supplied.</v>
      </c>
      <c r="E31" s="190" t="str">
        <f>LOOKUP($A$1,'Lang Other'!$A$3:$A$8,'Lang Other'!E33:E38)</f>
        <v>SECTION 2 -CONFIGURATIONS</v>
      </c>
      <c r="F31" s="190" t="str">
        <f>LOOKUP($A$1,'Lang Other'!$A$3:$A$8,'Lang Other'!F33:F38)</f>
        <v>If you would like to receive the Rating Office e-newsletter please subscribe from www.rorcrating.com</v>
      </c>
      <c r="G31" s="190" t="str">
        <f>LOOKUP($A$1,'Lang Other'!$A$3:$A$8,'Lang Other'!G33:G38)</f>
        <v>LIMITED VALIDITY TCC</v>
      </c>
      <c r="H31" s="190" t="str">
        <f>LOOKUP($A$1,'Lang Other'!$A$3:$A$8,'Lang Other'!H33:H38)</f>
        <v>Name of event</v>
      </c>
      <c r="I31" s="190" t="str">
        <f>LOOKUP($A$1,'Lang Other'!$A$3:$A$8,'Lang Other'!I33:I38)</f>
        <v>TCC start date required</v>
      </c>
      <c r="J31" s="190" t="str">
        <f>LOOKUP($A$1,'Lang Other'!$A$3:$A$8,'Lang Other'!J33:J38)</f>
        <v>TCC last date required</v>
      </c>
      <c r="K31" s="190" t="str">
        <f>LOOKUP($A$1,'Lang Other'!$A$3:$A$8,'Lang Other'!K33:K38)</f>
        <v>Total number of days</v>
      </c>
      <c r="L31" s="190" t="str">
        <f>LOOKUP($A$1,'Lang Other'!$A$3:$A$8,'Lang Other'!L33:L38)</f>
        <v>Changes to original/standard specification</v>
      </c>
    </row>
    <row r="33" spans="1:12">
      <c r="A33" s="180">
        <v>1</v>
      </c>
      <c r="B33" s="180" t="s">
        <v>3288</v>
      </c>
      <c r="D33" s="8" t="s">
        <v>4414</v>
      </c>
      <c r="E33" s="180" t="s">
        <v>148</v>
      </c>
      <c r="F33" s="180" t="s">
        <v>1132</v>
      </c>
      <c r="G33" s="180" t="s">
        <v>2475</v>
      </c>
      <c r="H33" s="180" t="s">
        <v>2476</v>
      </c>
      <c r="I33" s="180" t="s">
        <v>2477</v>
      </c>
      <c r="J33" s="180" t="s">
        <v>2478</v>
      </c>
      <c r="K33" s="180" t="s">
        <v>2479</v>
      </c>
      <c r="L33" s="15" t="s">
        <v>4640</v>
      </c>
    </row>
    <row r="34" spans="1:12" s="229" customFormat="1" ht="15">
      <c r="A34" s="180">
        <v>2</v>
      </c>
      <c r="B34" s="180" t="s">
        <v>3289</v>
      </c>
      <c r="C34" s="180"/>
      <c r="D34" s="228" t="s">
        <v>2538</v>
      </c>
      <c r="E34" s="180" t="s">
        <v>148</v>
      </c>
      <c r="L34" s="15" t="s">
        <v>4771</v>
      </c>
    </row>
    <row r="35" spans="1:12">
      <c r="A35" s="229">
        <v>3</v>
      </c>
      <c r="B35" s="229" t="s">
        <v>3290</v>
      </c>
      <c r="C35" s="229"/>
      <c r="D35" s="8" t="s">
        <v>2537</v>
      </c>
      <c r="E35" s="180" t="s">
        <v>149</v>
      </c>
      <c r="L35" s="15" t="s">
        <v>4772</v>
      </c>
    </row>
    <row r="36" spans="1:12">
      <c r="A36" s="180">
        <v>4</v>
      </c>
      <c r="B36" s="180" t="s">
        <v>3291</v>
      </c>
      <c r="D36" s="8" t="s">
        <v>2537</v>
      </c>
      <c r="L36" s="15"/>
    </row>
    <row r="37" spans="1:12">
      <c r="A37" s="180">
        <v>5</v>
      </c>
      <c r="B37" s="180" t="s">
        <v>3292</v>
      </c>
      <c r="D37" s="178" t="s">
        <v>3348</v>
      </c>
      <c r="E37" s="180" t="s">
        <v>150</v>
      </c>
      <c r="L37" s="676" t="s">
        <v>4640</v>
      </c>
    </row>
    <row r="38" spans="1:12">
      <c r="A38" s="180">
        <v>6</v>
      </c>
      <c r="B38" s="180" t="s">
        <v>4310</v>
      </c>
      <c r="D38" s="8">
        <v>0</v>
      </c>
      <c r="E38" s="180" t="s">
        <v>151</v>
      </c>
      <c r="L38" s="15" t="s">
        <v>4770</v>
      </c>
    </row>
  </sheetData>
  <sheetProtection password="C620" sheet="1"/>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X45"/>
  <sheetViews>
    <sheetView workbookViewId="0">
      <selection activeCell="T9" sqref="T9"/>
    </sheetView>
  </sheetViews>
  <sheetFormatPr defaultRowHeight="12.75"/>
  <cols>
    <col min="1" max="1" width="2" style="180" bestFit="1" customWidth="1"/>
    <col min="2" max="16384" width="9.140625" style="180"/>
  </cols>
  <sheetData>
    <row r="1" spans="1:24" s="190" customFormat="1">
      <c r="A1" s="190">
        <f>Application!H404</f>
        <v>1</v>
      </c>
      <c r="B1" s="190" t="s">
        <v>3287</v>
      </c>
      <c r="D1" s="190" t="str">
        <f>LOOKUP($A$1,'Lang Pay'!$A$3:$A$8,'Lang Pay'!D3:D8)</f>
        <v>OWNER and CONTACT DETAILS</v>
      </c>
      <c r="E1" s="190" t="str">
        <f>LOOKUP($A$1,'Lang Pay'!$A$3:$A$8,'Lang Pay'!E3:E8)</f>
        <v>If owner is a Company, enter Company name in 'Surname/Family name (s)'</v>
      </c>
      <c r="F1" s="190" t="str">
        <f>LOOKUP($A$1,'Lang Pay'!$A$3:$A$8,'Lang Pay'!F3:F8)</f>
        <v>Surname / Family name (s)</v>
      </c>
      <c r="G1" s="190" t="str">
        <f>LOOKUP($A$1,'Lang Pay'!$A$3:$A$8,'Lang Pay'!G3:G8)</f>
        <v>First / given name(s)</v>
      </c>
      <c r="H1" s="190" t="str">
        <f>LOOKUP($A$1,'Lang Pay'!$A$3:$A$8,'Lang Pay'!H3:H8)</f>
        <v>User/charterer name if different</v>
      </c>
      <c r="I1" s="190" t="str">
        <f>LOOKUP($A$1,'Lang Pay'!$A$3:$A$8,'Lang Pay'!I3:I8)</f>
        <v>Address for correspondence 1</v>
      </c>
      <c r="J1" s="190" t="str">
        <f>LOOKUP($A$1,'Lang Pay'!$A$3:$A$8,'Lang Pay'!J3:J8)</f>
        <v>Address 2</v>
      </c>
      <c r="K1" s="190" t="str">
        <f>LOOKUP($A$1,'Lang Pay'!$A$3:$A$8,'Lang Pay'!K3:K8)</f>
        <v>Address 3</v>
      </c>
      <c r="L1" s="190" t="str">
        <f>LOOKUP($A$1,'Lang Pay'!$A$3:$A$8,'Lang Pay'!L3:L8)</f>
        <v>TOWN</v>
      </c>
      <c r="M1" s="190" t="str">
        <f>LOOKUP($A$1,'Lang Pay'!$A$3:$A$8,'Lang Pay'!M3:M8)</f>
        <v>Post / zip code</v>
      </c>
      <c r="N1" s="190" t="str">
        <f>LOOKUP($A$1,'Lang Pay'!$A$3:$A$8,'Lang Pay'!N3:N8)</f>
        <v>Country</v>
      </c>
      <c r="O1" s="190" t="str">
        <f>LOOKUP($A$1,'Lang Pay'!$A$3:$A$8,'Lang Pay'!O3:O8)</f>
        <v>E-mail address</v>
      </c>
      <c r="P1" s="190" t="str">
        <f>LOOKUP($A$1,'Lang Pay'!$A$3:$A$8,'Lang Pay'!P3:P8)</f>
        <v>Telephone</v>
      </c>
      <c r="Q1" s="190" t="str">
        <f>LOOKUP($A$1,'Lang Pay'!$A$3:$A$8,'Lang Pay'!Q3:Q8)</f>
        <v>Mobile</v>
      </c>
      <c r="R1" s="190" t="str">
        <f>LOOKUP($A$1,'Lang Pay'!$A$3:$A$8,'Lang Pay'!R3:R8)</f>
        <v>Fax</v>
      </c>
      <c r="S1" s="190" t="str">
        <f>LOOKUP($A$1,'Lang Pay'!$A$3:$A$8,'Lang Pay'!S3:S8)</f>
        <v>Please select your RATING AUTHORITY and SAILING AREA from the boxes below:</v>
      </c>
      <c r="T1" s="190" t="str">
        <f>LOOKUP($A$1,'Lang Pay'!$A$3:$A$8,'Lang Pay'!T3:T8)</f>
        <v>Sailing area - country/region</v>
      </c>
      <c r="U1" s="190" t="str">
        <f>LOOKUP($A$1,'Lang Pay'!$A$3:$A$8,'Lang Pay'!U3:U8)</f>
        <v>Residential Geographic Area*</v>
      </c>
    </row>
    <row r="2" spans="1:24">
      <c r="D2" s="49"/>
    </row>
    <row r="3" spans="1:24">
      <c r="A3" s="180">
        <v>1</v>
      </c>
      <c r="B3" s="180" t="s">
        <v>3288</v>
      </c>
      <c r="D3" s="15" t="s">
        <v>4416</v>
      </c>
      <c r="E3" s="15" t="s">
        <v>2253</v>
      </c>
      <c r="F3" s="15" t="s">
        <v>894</v>
      </c>
      <c r="G3" s="15" t="s">
        <v>893</v>
      </c>
      <c r="H3" s="200" t="s">
        <v>895</v>
      </c>
      <c r="I3" s="15" t="s">
        <v>723</v>
      </c>
      <c r="J3" s="15" t="s">
        <v>724</v>
      </c>
      <c r="K3" s="15" t="s">
        <v>727</v>
      </c>
      <c r="L3" s="15" t="s">
        <v>185</v>
      </c>
      <c r="M3" s="15" t="s">
        <v>898</v>
      </c>
      <c r="N3" s="15" t="s">
        <v>700</v>
      </c>
      <c r="O3" s="15" t="s">
        <v>3734</v>
      </c>
      <c r="P3" s="19" t="s">
        <v>899</v>
      </c>
      <c r="Q3" s="15" t="s">
        <v>2311</v>
      </c>
      <c r="R3" s="15" t="s">
        <v>3560</v>
      </c>
      <c r="S3" s="14" t="s">
        <v>2320</v>
      </c>
      <c r="T3" s="14" t="s">
        <v>4658</v>
      </c>
      <c r="U3" s="14" t="s">
        <v>2319</v>
      </c>
      <c r="V3" s="14"/>
      <c r="W3" s="14"/>
      <c r="X3" s="14"/>
    </row>
    <row r="4" spans="1:24">
      <c r="A4" s="180">
        <v>2</v>
      </c>
      <c r="B4" s="180" t="s">
        <v>3289</v>
      </c>
      <c r="D4" s="14" t="s">
        <v>4018</v>
      </c>
      <c r="E4" s="194" t="s">
        <v>2147</v>
      </c>
      <c r="F4" s="194" t="s">
        <v>4017</v>
      </c>
      <c r="G4" s="194" t="s">
        <v>4019</v>
      </c>
      <c r="H4" s="194" t="s">
        <v>4020</v>
      </c>
      <c r="I4" s="194" t="s">
        <v>4021</v>
      </c>
      <c r="J4" s="194" t="s">
        <v>3755</v>
      </c>
      <c r="K4" s="194" t="s">
        <v>3756</v>
      </c>
      <c r="L4" s="194" t="s">
        <v>3757</v>
      </c>
      <c r="M4" s="194" t="s">
        <v>3758</v>
      </c>
      <c r="N4" s="194" t="s">
        <v>3759</v>
      </c>
      <c r="O4" s="194" t="s">
        <v>3760</v>
      </c>
      <c r="P4" s="194" t="s">
        <v>3761</v>
      </c>
      <c r="Q4" s="194" t="s">
        <v>3762</v>
      </c>
      <c r="R4" s="194" t="s">
        <v>3560</v>
      </c>
      <c r="S4" s="125" t="s">
        <v>3777</v>
      </c>
      <c r="T4" s="46" t="s">
        <v>3347</v>
      </c>
      <c r="U4" s="125" t="s">
        <v>2502</v>
      </c>
    </row>
    <row r="5" spans="1:24">
      <c r="A5" s="180">
        <v>3</v>
      </c>
      <c r="B5" s="180" t="s">
        <v>3290</v>
      </c>
      <c r="D5" s="177" t="s">
        <v>1624</v>
      </c>
      <c r="E5" s="185" t="s">
        <v>2925</v>
      </c>
      <c r="F5" s="185" t="s">
        <v>3276</v>
      </c>
      <c r="G5" s="185" t="s">
        <v>2926</v>
      </c>
      <c r="H5" s="185" t="s">
        <v>2927</v>
      </c>
      <c r="I5" s="185" t="s">
        <v>2929</v>
      </c>
      <c r="J5" s="185" t="s">
        <v>2928</v>
      </c>
      <c r="K5" s="185" t="s">
        <v>2930</v>
      </c>
      <c r="L5" s="185" t="s">
        <v>2931</v>
      </c>
      <c r="M5" s="185" t="s">
        <v>2932</v>
      </c>
      <c r="N5" s="185" t="s">
        <v>2933</v>
      </c>
      <c r="O5" s="185" t="s">
        <v>3812</v>
      </c>
      <c r="P5" s="185" t="s">
        <v>2934</v>
      </c>
      <c r="Q5" s="185" t="s">
        <v>2935</v>
      </c>
      <c r="R5" s="185" t="s">
        <v>3560</v>
      </c>
      <c r="S5" s="185" t="s">
        <v>4207</v>
      </c>
      <c r="T5" s="403" t="s">
        <v>4657</v>
      </c>
      <c r="U5" s="185" t="s">
        <v>2502</v>
      </c>
    </row>
    <row r="6" spans="1:24">
      <c r="A6" s="180">
        <v>4</v>
      </c>
      <c r="B6" s="180" t="s">
        <v>3291</v>
      </c>
      <c r="D6" s="15"/>
    </row>
    <row r="7" spans="1:24">
      <c r="A7" s="180">
        <v>5</v>
      </c>
      <c r="B7" s="180" t="s">
        <v>3292</v>
      </c>
      <c r="D7" s="177" t="s">
        <v>2202</v>
      </c>
      <c r="E7" s="185" t="s">
        <v>3164</v>
      </c>
      <c r="F7" s="185" t="s">
        <v>2443</v>
      </c>
      <c r="G7" s="185" t="s">
        <v>2200</v>
      </c>
      <c r="H7" s="185" t="s">
        <v>3165</v>
      </c>
      <c r="I7" s="185" t="s">
        <v>3166</v>
      </c>
      <c r="J7" s="185" t="s">
        <v>3167</v>
      </c>
      <c r="K7" s="185" t="s">
        <v>3168</v>
      </c>
      <c r="L7" s="185" t="s">
        <v>3169</v>
      </c>
      <c r="M7" s="185" t="s">
        <v>3170</v>
      </c>
      <c r="N7" s="185" t="s">
        <v>3171</v>
      </c>
      <c r="O7" s="185" t="s">
        <v>3172</v>
      </c>
      <c r="P7" s="185" t="s">
        <v>3173</v>
      </c>
      <c r="Q7" s="185" t="s">
        <v>3174</v>
      </c>
      <c r="R7" s="185" t="s">
        <v>3560</v>
      </c>
      <c r="S7" s="185" t="s">
        <v>3778</v>
      </c>
      <c r="T7" s="403" t="s">
        <v>3179</v>
      </c>
      <c r="U7" s="185" t="s">
        <v>2502</v>
      </c>
    </row>
    <row r="8" spans="1:24">
      <c r="A8" s="180">
        <v>6</v>
      </c>
      <c r="B8" s="180" t="s">
        <v>4310</v>
      </c>
      <c r="D8" s="15" t="s">
        <v>897</v>
      </c>
      <c r="E8" s="15" t="s">
        <v>2253</v>
      </c>
      <c r="F8" s="15" t="s">
        <v>894</v>
      </c>
      <c r="G8" s="15" t="s">
        <v>893</v>
      </c>
      <c r="H8" s="200" t="s">
        <v>895</v>
      </c>
      <c r="I8" s="15" t="s">
        <v>723</v>
      </c>
      <c r="J8" s="15" t="s">
        <v>724</v>
      </c>
      <c r="K8" s="15" t="s">
        <v>727</v>
      </c>
      <c r="L8" s="15" t="s">
        <v>185</v>
      </c>
      <c r="M8" s="15" t="s">
        <v>898</v>
      </c>
      <c r="N8" s="15" t="s">
        <v>700</v>
      </c>
      <c r="O8" s="15" t="s">
        <v>3734</v>
      </c>
      <c r="P8" s="19" t="s">
        <v>899</v>
      </c>
      <c r="Q8" s="15" t="s">
        <v>2311</v>
      </c>
      <c r="R8" s="15" t="s">
        <v>3560</v>
      </c>
      <c r="S8" s="14" t="s">
        <v>2320</v>
      </c>
      <c r="T8" s="14" t="s">
        <v>4658</v>
      </c>
      <c r="U8" s="14" t="s">
        <v>2319</v>
      </c>
      <c r="V8" s="14"/>
      <c r="W8" s="14"/>
    </row>
    <row r="13" spans="1:24">
      <c r="E13" s="15"/>
      <c r="F13" s="15"/>
    </row>
    <row r="15" spans="1:24" s="190" customFormat="1">
      <c r="A15" s="190">
        <f>Application!H420</f>
        <v>0</v>
      </c>
      <c r="B15" s="190" t="s">
        <v>3287</v>
      </c>
      <c r="D15" s="190" t="str">
        <f>LOOKUP($A$1,'Lang Pay'!$A$3:$A$8,'Lang Pay'!D17:D22)</f>
        <v>RORC member No. if applicable</v>
      </c>
      <c r="E15" s="190" t="str">
        <f>LOOKUP($A$1,'Lang Pay'!$A$3:$A$8,'Lang Pay'!E17:E22)</f>
        <v>To request a Yearbook contact your Rule Authority</v>
      </c>
      <c r="F15" s="190" t="str">
        <f>LOOKUP($A$1,'Lang Pay'!$A$3:$A$8,'Lang Pay'!F17:F22)</f>
        <v>If you are unable to pay online please call 01590 677030 so we can advise you.</v>
      </c>
      <c r="G15" s="190" t="str">
        <f>LOOKUP($A$1,'Lang Pay'!$A$3:$A$8,'Lang Pay'!G17:G22)</f>
        <v>Card type</v>
      </c>
      <c r="H15" s="190" t="str">
        <f>LOOKUP($A$1,'Lang Pay'!$A$3:$A$8,'Lang Pay'!H17:H22)</f>
        <v>Sorry we cannot accept AmEx</v>
      </c>
      <c r="I15" s="190" t="str">
        <f>LOOKUP($A$1,'Lang Pay'!$A$3:$A$8,'Lang Pay'!I17:I22)</f>
        <v>Card number</v>
      </c>
      <c r="J15" s="190" t="str">
        <f>LOOKUP($A$1,'Lang Pay'!$A$3:$A$8,'Lang Pay'!J17:J22)</f>
        <v>Expiry</v>
      </c>
      <c r="K15" s="190" t="str">
        <f>LOOKUP($A$1,'Lang Pay'!$A$3:$A$8,'Lang Pay'!K17:K22)</f>
        <v>Month</v>
      </c>
      <c r="L15" s="190" t="str">
        <f>LOOKUP($A$1,'Lang Pay'!$A$3:$A$8,'Lang Pay'!L17:L22)</f>
        <v>Year</v>
      </c>
      <c r="M15" s="190" t="str">
        <f>LOOKUP($A$1,'Lang Pay'!$A$3:$A$8,'Lang Pay'!M17:M22)</f>
        <v>Required for all cards</v>
      </c>
      <c r="N15" s="190" t="str">
        <f>LOOKUP($A$1,'Lang Pay'!$A$3:$A$8,'Lang Pay'!N17:N22)</f>
        <v>Security number  (last 3 digits on reverse of card)</v>
      </c>
      <c r="O15" s="190" t="str">
        <f>LOOKUP($A$1,'Lang Pay'!$A$3:$A$8,'Lang Pay'!O17:O22)</f>
        <v xml:space="preserve">If applicable: </v>
      </c>
      <c r="P15" s="190" t="str">
        <f>LOOKUP($A$1,'Lang Pay'!$A$3:$A$8,'Lang Pay'!P17:P22)</f>
        <v>Start date</v>
      </c>
      <c r="Q15" s="190" t="str">
        <f>LOOKUP($A$1,'Lang Pay'!$A$3:$A$8,'Lang Pay'!Q17:Q22)</f>
        <v>Issue no.</v>
      </c>
      <c r="R15" s="190" t="str">
        <f>LOOKUP($A$1,'Lang Pay'!$A$3:$A$8,'Lang Pay'!R17:R22)</f>
        <v>Card holder name and address if different to owner details</v>
      </c>
      <c r="S15" s="190" t="str">
        <f>LOOKUP($A$1,'Lang Pay'!$A$3:$A$8,'Lang Pay'!S17:S22)</f>
        <v>Currency:</v>
      </c>
      <c r="T15" s="190" t="str">
        <f>LOOKUP($A$1,'Lang Pay'!$A$3:$A$8,'Lang Pay'!T17:T22)</f>
        <v>UNCL member No. if applicable</v>
      </c>
      <c r="U15" s="190" t="str">
        <f>LOOKUP($A$1,'Lang Pay'!$A$3:$A$8,'Lang Pay'!U17:U22)</f>
        <v>Online Yearbook at www.ircrating.org</v>
      </c>
    </row>
    <row r="16" spans="1:24">
      <c r="D16" s="49"/>
      <c r="H16" s="49" t="str">
        <f>LOOKUP($A$1,'Lang Pay'!$A$3:$A$7,'Lang Pay'!H17:H21)</f>
        <v>Sorry we cannot accept AmEx</v>
      </c>
      <c r="K16" s="49" t="str">
        <f>LOOKUP($A$1,'Lang Pay'!$A$3:$A$7,'Lang Pay'!K17:K21)</f>
        <v>Month</v>
      </c>
      <c r="L16" s="49" t="str">
        <f>LOOKUP($A$1,'Lang Pay'!$A$3:$A$7,'Lang Pay'!L17:L21)</f>
        <v>Year</v>
      </c>
      <c r="M16" s="49" t="str">
        <f>LOOKUP($A$1,'Lang Pay'!$A$3:$A$7,'Lang Pay'!M17:M21)</f>
        <v>Required for all cards</v>
      </c>
      <c r="N16" s="49" t="str">
        <f>LOOKUP($A$1,'Lang Pay'!$A$3:$A$7,'Lang Pay'!N17:N21)</f>
        <v>Security number  (last 3 digits on reverse of card)</v>
      </c>
      <c r="O16" s="49" t="str">
        <f>LOOKUP($A$1,'Lang Pay'!$A$3:$A$7,'Lang Pay'!O17:O21)</f>
        <v xml:space="preserve">If applicable: </v>
      </c>
      <c r="P16" s="49" t="str">
        <f>LOOKUP($A$1,'Lang Pay'!$A$3:$A$7,'Lang Pay'!P17:P21)</f>
        <v>Start date</v>
      </c>
      <c r="Q16" s="49" t="str">
        <f>LOOKUP($A$1,'Lang Pay'!$A$3:$A$7,'Lang Pay'!Q17:Q21)</f>
        <v>Issue no.</v>
      </c>
      <c r="S16" s="49" t="str">
        <f>LOOKUP($A$1,'Lang Pay'!$A$3:$A$7,'Lang Pay'!S17:S21)</f>
        <v>Currency:</v>
      </c>
      <c r="U16" s="179" t="s">
        <v>580</v>
      </c>
    </row>
    <row r="17" spans="1:21">
      <c r="A17" s="180">
        <v>1</v>
      </c>
      <c r="B17" s="180" t="s">
        <v>3288</v>
      </c>
      <c r="D17" s="15" t="s">
        <v>3103</v>
      </c>
      <c r="E17" s="15" t="s">
        <v>581</v>
      </c>
      <c r="F17" s="15" t="s">
        <v>4412</v>
      </c>
      <c r="G17" s="15" t="s">
        <v>2327</v>
      </c>
      <c r="H17" s="200" t="s">
        <v>1050</v>
      </c>
      <c r="I17" s="15" t="s">
        <v>1051</v>
      </c>
      <c r="J17" s="15" t="s">
        <v>1052</v>
      </c>
      <c r="K17" s="80" t="s">
        <v>1055</v>
      </c>
      <c r="L17" s="80" t="s">
        <v>1056</v>
      </c>
      <c r="M17" s="20" t="s">
        <v>1587</v>
      </c>
      <c r="N17" s="15" t="s">
        <v>1416</v>
      </c>
      <c r="O17" s="233" t="s">
        <v>2328</v>
      </c>
      <c r="P17" s="17" t="s">
        <v>1057</v>
      </c>
      <c r="Q17" s="17" t="s">
        <v>1058</v>
      </c>
      <c r="R17" s="16" t="s">
        <v>3392</v>
      </c>
      <c r="S17" s="17" t="s">
        <v>4091</v>
      </c>
      <c r="T17" s="15" t="s">
        <v>3104</v>
      </c>
      <c r="U17" s="179" t="s">
        <v>580</v>
      </c>
    </row>
    <row r="18" spans="1:21">
      <c r="A18" s="180">
        <v>2</v>
      </c>
      <c r="B18" s="180" t="s">
        <v>3289</v>
      </c>
      <c r="D18" s="182" t="s">
        <v>2161</v>
      </c>
      <c r="E18" s="15" t="s">
        <v>581</v>
      </c>
      <c r="F18" s="182" t="s">
        <v>2163</v>
      </c>
      <c r="G18" s="194" t="s">
        <v>3763</v>
      </c>
      <c r="H18" s="194"/>
      <c r="I18" s="194" t="s">
        <v>3763</v>
      </c>
      <c r="J18" s="194" t="s">
        <v>3763</v>
      </c>
      <c r="K18" s="194"/>
      <c r="L18" s="194"/>
      <c r="M18" s="194"/>
      <c r="N18" s="194"/>
      <c r="O18" s="194" t="s">
        <v>3763</v>
      </c>
      <c r="P18" s="194"/>
      <c r="Q18" s="194"/>
      <c r="R18" s="194" t="s">
        <v>3763</v>
      </c>
      <c r="S18" s="194"/>
      <c r="T18" s="14" t="s">
        <v>2162</v>
      </c>
      <c r="U18" s="179" t="s">
        <v>580</v>
      </c>
    </row>
    <row r="19" spans="1:21">
      <c r="A19" s="180">
        <v>3</v>
      </c>
      <c r="B19" s="180" t="s">
        <v>3290</v>
      </c>
      <c r="D19" s="177" t="s">
        <v>4209</v>
      </c>
      <c r="E19" s="15" t="s">
        <v>581</v>
      </c>
      <c r="F19" s="185" t="s">
        <v>4210</v>
      </c>
      <c r="G19" s="185"/>
      <c r="H19" s="185"/>
      <c r="I19" s="202" t="s">
        <v>4211</v>
      </c>
      <c r="J19" s="202" t="s">
        <v>4211</v>
      </c>
      <c r="K19" s="185"/>
      <c r="L19" s="185"/>
      <c r="M19" s="185"/>
      <c r="N19" s="185"/>
      <c r="O19" s="185" t="s">
        <v>4211</v>
      </c>
      <c r="P19" s="185"/>
      <c r="Q19" s="185"/>
      <c r="R19" s="185" t="s">
        <v>4211</v>
      </c>
      <c r="S19" s="185"/>
      <c r="T19" s="185"/>
      <c r="U19" s="179" t="s">
        <v>580</v>
      </c>
    </row>
    <row r="20" spans="1:21">
      <c r="A20" s="180">
        <v>4</v>
      </c>
      <c r="B20" s="180" t="s">
        <v>3291</v>
      </c>
      <c r="D20" s="15"/>
      <c r="E20" s="15" t="s">
        <v>581</v>
      </c>
      <c r="U20" s="179" t="s">
        <v>580</v>
      </c>
    </row>
    <row r="21" spans="1:21">
      <c r="A21" s="180">
        <v>5</v>
      </c>
      <c r="B21" s="180" t="s">
        <v>3292</v>
      </c>
      <c r="D21" s="177" t="s">
        <v>2811</v>
      </c>
      <c r="E21" s="15" t="s">
        <v>581</v>
      </c>
      <c r="F21" s="185" t="s">
        <v>2990</v>
      </c>
      <c r="G21" s="185" t="s">
        <v>2812</v>
      </c>
      <c r="H21" s="185"/>
      <c r="I21" s="185" t="s">
        <v>2812</v>
      </c>
      <c r="J21" s="185" t="s">
        <v>2812</v>
      </c>
      <c r="K21" s="185"/>
      <c r="L21" s="185"/>
      <c r="M21" s="185"/>
      <c r="N21" s="185"/>
      <c r="O21" s="185" t="s">
        <v>2812</v>
      </c>
      <c r="P21" s="185"/>
      <c r="Q21" s="185"/>
      <c r="R21" s="185" t="s">
        <v>2812</v>
      </c>
      <c r="S21" s="185"/>
      <c r="T21" s="185" t="s">
        <v>2813</v>
      </c>
      <c r="U21" s="179" t="s">
        <v>580</v>
      </c>
    </row>
    <row r="22" spans="1:21">
      <c r="A22" s="180">
        <v>6</v>
      </c>
      <c r="B22" s="180" t="s">
        <v>4310</v>
      </c>
      <c r="D22" s="15" t="s">
        <v>3103</v>
      </c>
      <c r="E22" s="15" t="s">
        <v>581</v>
      </c>
      <c r="F22" s="15" t="s">
        <v>938</v>
      </c>
      <c r="G22" s="15" t="s">
        <v>2327</v>
      </c>
      <c r="H22" s="200" t="s">
        <v>1050</v>
      </c>
      <c r="I22" s="15" t="s">
        <v>1051</v>
      </c>
      <c r="J22" s="15" t="s">
        <v>1052</v>
      </c>
      <c r="K22" s="80" t="s">
        <v>1055</v>
      </c>
      <c r="L22" s="80" t="s">
        <v>1056</v>
      </c>
      <c r="M22" s="20" t="s">
        <v>1587</v>
      </c>
      <c r="N22" s="15" t="s">
        <v>1416</v>
      </c>
      <c r="O22" s="233" t="s">
        <v>2328</v>
      </c>
      <c r="P22" s="17" t="s">
        <v>1057</v>
      </c>
      <c r="Q22" s="17" t="s">
        <v>1058</v>
      </c>
      <c r="R22" s="16" t="s">
        <v>3392</v>
      </c>
      <c r="S22" s="17" t="s">
        <v>4091</v>
      </c>
      <c r="T22" s="15"/>
      <c r="U22" s="179" t="s">
        <v>580</v>
      </c>
    </row>
    <row r="27" spans="1:21" s="190" customFormat="1">
      <c r="A27" s="190">
        <f>Application!H432</f>
        <v>0</v>
      </c>
      <c r="B27" s="190" t="s">
        <v>3287</v>
      </c>
      <c r="D27" s="190" t="str">
        <f>IF(D28=0,"",D28)</f>
        <v>£ sterling</v>
      </c>
      <c r="E27" s="190" t="str">
        <f>LOOKUP($A$1,'Lang Pay'!$A$3:$A$8,'Lang Pay'!E29:E34)</f>
        <v>VAT if applicable*</v>
      </c>
      <c r="F27" s="190" t="str">
        <f>LOOKUP($A$1,'Lang Pay'!$A$3:$A$8,'Lang Pay'!F29:F34)</f>
        <v>Total if VAT applies*</v>
      </c>
      <c r="G27" s="190" t="str">
        <f>LOOKUP($A$1,'Lang Pay'!$A$3:$A$8,'Lang Pay'!G29:G34)</f>
        <v>Phone Rating Office if you do not wish to include payment details on form.</v>
      </c>
      <c r="H27" s="190" t="str">
        <f>LOOKUP($A$1,'Lang Pay'!$A$3:$A$8,'Lang Pay'!H29:H34)</f>
        <v>If paying online, please put X in this box</v>
      </c>
      <c r="I27" s="190" t="str">
        <f>LOOKUP($A$1,'Lang Pay'!$A$3:$A$8,'Lang Pay'!I29:I34)</f>
        <v>*Is the boat owned by a business, or payment made on a business account?</v>
      </c>
      <c r="J27" s="190" t="str">
        <f>LOOKUP($A$1,'Lang Pay'!$A$3:$A$8,'Lang Pay'!J29:J34)</f>
        <v>If yes, VAT will be added to the quoted fees until further notice</v>
      </c>
      <c r="K27" s="190" t="str">
        <f>LOOKUP($A$1,'Lang Pay'!$A$3:$A$8,'Lang Pay'!K29:K34)</f>
        <v xml:space="preserve">Expedited processing guaranteed 5 working days required (fee is doubled) </v>
      </c>
      <c r="L27" s="190" t="str">
        <f>LOOKUP($A$1,'Lang Pay'!$A$3:$A$8,'Lang Pay'!L29:L34)</f>
        <v xml:space="preserve">IRC Certificates Expire </v>
      </c>
      <c r="M27" s="190" t="str">
        <f>LOOKUP($A$1,'Lang Pay'!$A$3:$A$8,'Lang Pay'!M29:M34)</f>
        <v>ADDITIONAL COMMENTS/NOTES: attach a separate document if necessary</v>
      </c>
      <c r="N27" s="190">
        <f>LOOKUP($A$1,'Lang Pay'!$A$3:$A$8,'Lang Pay'!N29:N34)</f>
        <v>0</v>
      </c>
      <c r="O27" s="190">
        <f>LOOKUP($A$1,'Lang Pay'!$A$3:$A$8,'Lang Pay'!O29:O34)</f>
        <v>0</v>
      </c>
      <c r="P27" s="190">
        <f>LOOKUP($A$1,'Lang Pay'!$A$3:$A$8,'Lang Pay'!P29:P34)</f>
        <v>0</v>
      </c>
      <c r="Q27" s="190">
        <f>LOOKUP($A$1,'Lang Pay'!$A$3:$A$8,'Lang Pay'!Q29:Q34)</f>
        <v>0</v>
      </c>
      <c r="R27" s="190">
        <f>LOOKUP($A$1,'Lang Pay'!$A$3:$A$8,'Lang Pay'!R29:R34)</f>
        <v>0</v>
      </c>
      <c r="S27" s="190">
        <f>LOOKUP($A$1,'Lang Pay'!$A$3:$A$8,'Lang Pay'!S29:S34)</f>
        <v>0</v>
      </c>
    </row>
    <row r="28" spans="1:21">
      <c r="D28" s="49" t="str">
        <f>LOOKUP($A$1,'Lang Pay'!$A$3:$A$7,'Lang Pay'!D29:D33)</f>
        <v>£ sterling</v>
      </c>
      <c r="G28" s="49" t="str">
        <f>LOOKUP($A$1,'Lang Pay'!$A$3:$A$7,'Lang Pay'!G29:G33)</f>
        <v>Phone Rating Office if you do not wish to include payment details on form.</v>
      </c>
      <c r="H28" s="49" t="str">
        <f>LOOKUP($A$1,'Lang Pay'!$A$3:$A$7,'Lang Pay'!H29:H33)</f>
        <v>If paying online, please put X in this box</v>
      </c>
      <c r="I28" s="49" t="str">
        <f>LOOKUP($A$1,'Lang Pay'!$A$3:$A$7,'Lang Pay'!I29:I33)</f>
        <v>*Is the boat owned by a business, or payment made on a business account?</v>
      </c>
      <c r="J28" s="49" t="str">
        <f>LOOKUP($A$1,'Lang Pay'!$A$3:$A$7,'Lang Pay'!J29:J33)</f>
        <v>If yes, VAT will be added to the quoted fees until further notice</v>
      </c>
      <c r="K28" s="49" t="str">
        <f>LOOKUP($A$1,'Lang Pay'!$A$3:$A$7,'Lang Pay'!K29:K33)</f>
        <v xml:space="preserve">Expedited processing guaranteed 5 working days required (fee is doubled) </v>
      </c>
    </row>
    <row r="29" spans="1:21">
      <c r="A29" s="180">
        <v>1</v>
      </c>
      <c r="B29" s="180" t="s">
        <v>3288</v>
      </c>
      <c r="D29" s="17" t="s">
        <v>4092</v>
      </c>
      <c r="E29" s="17" t="s">
        <v>1043</v>
      </c>
      <c r="F29" s="17" t="s">
        <v>225</v>
      </c>
      <c r="G29" s="81" t="s">
        <v>908</v>
      </c>
      <c r="H29" s="81" t="s">
        <v>939</v>
      </c>
      <c r="I29" s="81" t="s">
        <v>226</v>
      </c>
      <c r="J29" s="81" t="s">
        <v>3878</v>
      </c>
      <c r="K29" s="81" t="s">
        <v>1352</v>
      </c>
      <c r="L29" s="15" t="s">
        <v>665</v>
      </c>
      <c r="M29" s="15" t="s">
        <v>2943</v>
      </c>
    </row>
    <row r="30" spans="1:21">
      <c r="A30" s="180">
        <v>2</v>
      </c>
      <c r="B30" s="180" t="s">
        <v>3289</v>
      </c>
      <c r="D30" s="194"/>
      <c r="E30" s="194" t="s">
        <v>3763</v>
      </c>
      <c r="F30" s="194" t="s">
        <v>3763</v>
      </c>
      <c r="G30" s="194"/>
      <c r="H30" s="194" t="s">
        <v>3763</v>
      </c>
      <c r="I30" s="194" t="s">
        <v>3763</v>
      </c>
      <c r="J30" s="194"/>
      <c r="K30" s="194" t="s">
        <v>3763</v>
      </c>
      <c r="L30" s="194" t="s">
        <v>664</v>
      </c>
      <c r="M30" s="194" t="s">
        <v>3769</v>
      </c>
    </row>
    <row r="31" spans="1:21">
      <c r="A31" s="180">
        <v>3</v>
      </c>
      <c r="B31" s="180" t="s">
        <v>3290</v>
      </c>
      <c r="D31" s="15"/>
      <c r="E31" s="185" t="s">
        <v>4211</v>
      </c>
      <c r="F31" s="185" t="s">
        <v>4211</v>
      </c>
      <c r="G31" s="185"/>
      <c r="H31" s="185" t="s">
        <v>4211</v>
      </c>
      <c r="I31" s="185" t="s">
        <v>4211</v>
      </c>
      <c r="J31" s="185"/>
      <c r="K31" s="185" t="s">
        <v>4211</v>
      </c>
      <c r="L31" s="185" t="s">
        <v>4212</v>
      </c>
      <c r="M31" s="185" t="s">
        <v>2837</v>
      </c>
    </row>
    <row r="32" spans="1:21" ht="15">
      <c r="A32" s="180">
        <v>4</v>
      </c>
      <c r="B32" s="180" t="s">
        <v>3291</v>
      </c>
      <c r="D32" s="15"/>
      <c r="F32" s="236"/>
      <c r="G32" s="236"/>
      <c r="H32" s="236"/>
      <c r="I32" s="236"/>
      <c r="J32" s="236"/>
      <c r="K32" s="81"/>
      <c r="M32" s="15"/>
      <c r="N32" s="15"/>
      <c r="O32" s="15"/>
      <c r="P32" s="15"/>
      <c r="Q32" s="15"/>
    </row>
    <row r="33" spans="1:17">
      <c r="A33" s="180">
        <v>5</v>
      </c>
      <c r="B33" s="180" t="s">
        <v>3292</v>
      </c>
      <c r="D33" s="15"/>
      <c r="E33" s="185" t="s">
        <v>2812</v>
      </c>
      <c r="F33" s="185" t="s">
        <v>2812</v>
      </c>
      <c r="G33" s="185"/>
      <c r="H33" s="185" t="s">
        <v>2812</v>
      </c>
      <c r="I33" s="185" t="s">
        <v>2812</v>
      </c>
      <c r="J33" s="203"/>
      <c r="K33" s="185" t="s">
        <v>2812</v>
      </c>
      <c r="L33" s="185" t="s">
        <v>2814</v>
      </c>
      <c r="M33" s="177" t="s">
        <v>2815</v>
      </c>
      <c r="N33" s="15"/>
      <c r="O33" s="15"/>
      <c r="P33" s="15"/>
      <c r="Q33" s="15"/>
    </row>
    <row r="34" spans="1:17" s="188" customFormat="1" ht="15">
      <c r="A34" s="195">
        <v>6</v>
      </c>
      <c r="B34" s="195" t="s">
        <v>4310</v>
      </c>
      <c r="C34" s="207"/>
      <c r="D34" s="207"/>
      <c r="E34" s="207"/>
      <c r="F34" s="207"/>
      <c r="G34" s="207"/>
      <c r="H34" s="207"/>
      <c r="I34" s="207"/>
      <c r="J34" s="207"/>
      <c r="K34" s="81" t="s">
        <v>1352</v>
      </c>
      <c r="L34" s="135" t="s">
        <v>3604</v>
      </c>
      <c r="M34" s="135" t="s">
        <v>3605</v>
      </c>
    </row>
    <row r="35" spans="1:17">
      <c r="I35" s="81"/>
      <c r="J35" s="81"/>
      <c r="K35" s="81"/>
      <c r="L35" s="81"/>
      <c r="M35" s="81"/>
    </row>
    <row r="38" spans="1:17" s="190" customFormat="1">
      <c r="A38" s="190">
        <f>Application!H443</f>
        <v>0</v>
      </c>
      <c r="B38" s="190" t="s">
        <v>3287</v>
      </c>
      <c r="D38" s="190" t="str">
        <f>LOOKUP($A$1,'Lang Pay'!$A$3:$A$8,'Lang Pay'!D40:D45)</f>
        <v>PLEASE DO NOT PUT INFORMATION OUTSIDE THE FORM BORDER</v>
      </c>
      <c r="E38" s="190" t="str">
        <f>LOOKUP($A$1,'Lang Pay'!$A$3:$A$8,'Lang Pay'!E40:E45)</f>
        <v>Please put any additional notes in the box at the end of this form, or in an accompanying e-mail</v>
      </c>
      <c r="F38" s="190" t="str">
        <f>LOOKUP($A$1,'Lang Pay'!$A$3:$A$8,'Lang Pay'!F40:F45)</f>
        <v>HHW Default=50%LP</v>
      </c>
      <c r="G38" s="190" t="str">
        <f>LOOKUP($A$1,'Lang Pay'!$A$3:$A$8,'Lang Pay'!G40:G45)</f>
        <v>HTW Default=25%LP except where LP &lt; 1.1*J default=30%LP</v>
      </c>
      <c r="H38" s="190" t="str">
        <f>LOOKUP($A$1,'Lang Pay'!$A$3:$A$8,'Lang Pay'!H40:H45)</f>
        <v>LP/J ratio. If less than 1.30 not eligible for furling allowance:</v>
      </c>
      <c r="I38" s="190" t="str">
        <f>LOOKUP($A$1,'Lang Pay'!$A$3:$A$8,'Lang Pay'!I40:I45)</f>
        <v>If yes, give details below</v>
      </c>
      <c r="J38" s="190" t="str">
        <f>LOOKUP($A$1,'Lang Pay'!$A$3:$A$8,'Lang Pay'!J40:J45)</f>
        <v>https://www.rorcrating.com/myirc</v>
      </c>
      <c r="K38" s="190">
        <f>LOOKUP($A$1,'Lang Pay'!$A$3:$A$7,'Lang Pay'!K40:K44)</f>
        <v>0</v>
      </c>
    </row>
    <row r="39" spans="1:17">
      <c r="D39" s="49"/>
    </row>
    <row r="40" spans="1:17" ht="15">
      <c r="A40" s="180">
        <v>1</v>
      </c>
      <c r="B40" s="180" t="s">
        <v>3288</v>
      </c>
      <c r="D40" s="236" t="s">
        <v>223</v>
      </c>
      <c r="E40" s="16" t="s">
        <v>182</v>
      </c>
      <c r="F40" s="16" t="s">
        <v>945</v>
      </c>
      <c r="G40" s="234" t="s">
        <v>3175</v>
      </c>
      <c r="H40" s="65" t="s">
        <v>3732</v>
      </c>
      <c r="I40" s="17" t="s">
        <v>2254</v>
      </c>
      <c r="J40" s="457" t="s">
        <v>4415</v>
      </c>
    </row>
    <row r="41" spans="1:17">
      <c r="A41" s="180">
        <v>2</v>
      </c>
      <c r="B41" s="180" t="s">
        <v>3289</v>
      </c>
      <c r="D41" s="14" t="s">
        <v>3764</v>
      </c>
      <c r="E41" s="14" t="s">
        <v>3766</v>
      </c>
      <c r="F41" s="194" t="s">
        <v>3767</v>
      </c>
      <c r="G41" s="194" t="s">
        <v>3176</v>
      </c>
      <c r="H41" s="194" t="s">
        <v>3733</v>
      </c>
      <c r="I41" s="194" t="s">
        <v>3768</v>
      </c>
      <c r="J41" s="182" t="s">
        <v>1531</v>
      </c>
      <c r="K41" s="194"/>
    </row>
    <row r="42" spans="1:17">
      <c r="A42" s="180">
        <v>3</v>
      </c>
      <c r="B42" s="180" t="s">
        <v>3290</v>
      </c>
      <c r="D42" s="177" t="s">
        <v>1350</v>
      </c>
      <c r="E42" s="203" t="s">
        <v>4182</v>
      </c>
      <c r="F42" s="235" t="s">
        <v>4183</v>
      </c>
      <c r="G42" s="185" t="s">
        <v>3177</v>
      </c>
      <c r="H42" s="185" t="s">
        <v>2339</v>
      </c>
      <c r="I42" s="185" t="s">
        <v>3525</v>
      </c>
      <c r="J42" s="170" t="s">
        <v>3526</v>
      </c>
    </row>
    <row r="43" spans="1:17">
      <c r="A43" s="180">
        <v>4</v>
      </c>
      <c r="B43" s="180" t="s">
        <v>3291</v>
      </c>
      <c r="D43" s="15"/>
      <c r="E43" s="16"/>
      <c r="J43" s="65"/>
    </row>
    <row r="44" spans="1:17">
      <c r="A44" s="180">
        <v>5</v>
      </c>
      <c r="B44" s="180" t="s">
        <v>3292</v>
      </c>
      <c r="D44" s="177" t="s">
        <v>2816</v>
      </c>
      <c r="E44" s="185" t="s">
        <v>2817</v>
      </c>
      <c r="F44" s="185" t="s">
        <v>2818</v>
      </c>
      <c r="G44" s="185" t="s">
        <v>3178</v>
      </c>
      <c r="H44" s="185" t="s">
        <v>2340</v>
      </c>
      <c r="I44" s="185" t="s">
        <v>2819</v>
      </c>
      <c r="J44" s="170" t="s">
        <v>2820</v>
      </c>
    </row>
    <row r="45" spans="1:17" s="188" customFormat="1" ht="15.75">
      <c r="A45" s="195">
        <v>6</v>
      </c>
      <c r="B45" s="195" t="s">
        <v>4310</v>
      </c>
      <c r="C45" s="207"/>
      <c r="D45" s="237" t="s">
        <v>3606</v>
      </c>
      <c r="E45" s="132" t="s">
        <v>3607</v>
      </c>
      <c r="F45" s="132" t="s">
        <v>945</v>
      </c>
      <c r="G45" s="395" t="s">
        <v>1957</v>
      </c>
      <c r="H45" s="396" t="s">
        <v>1958</v>
      </c>
      <c r="I45" s="132" t="s">
        <v>3608</v>
      </c>
      <c r="J45" s="129"/>
    </row>
  </sheetData>
  <sheetProtection password="C620" sheet="1"/>
  <phoneticPr fontId="19" type="noConversion"/>
  <hyperlinks>
    <hyperlink ref="J40"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Z118"/>
  <sheetViews>
    <sheetView topLeftCell="N1" workbookViewId="0">
      <selection activeCell="R8" sqref="R8"/>
    </sheetView>
  </sheetViews>
  <sheetFormatPr defaultRowHeight="12.75"/>
  <cols>
    <col min="1" max="1" width="2" style="61" bestFit="1" customWidth="1"/>
    <col min="2" max="2" width="11.42578125" style="61" bestFit="1" customWidth="1"/>
    <col min="3" max="3" width="9.140625" style="61"/>
    <col min="4" max="4" width="33.5703125" style="61" bestFit="1" customWidth="1"/>
    <col min="5" max="5" width="39.5703125" style="61" bestFit="1" customWidth="1"/>
    <col min="6" max="6" width="74.5703125" style="61" bestFit="1" customWidth="1"/>
    <col min="7" max="7" width="38.140625" style="61" bestFit="1" customWidth="1"/>
    <col min="8" max="8" width="28" style="61" customWidth="1"/>
    <col min="9" max="9" width="18.140625" style="61" customWidth="1"/>
    <col min="10" max="10" width="16.7109375" style="61" customWidth="1"/>
    <col min="11" max="11" width="19.5703125" style="61" customWidth="1"/>
    <col min="12" max="12" width="17.42578125" style="61" customWidth="1"/>
    <col min="13" max="13" width="33.28515625" style="61" bestFit="1" customWidth="1"/>
    <col min="14" max="14" width="9.140625" style="61"/>
    <col min="15" max="15" width="58" style="61" customWidth="1"/>
    <col min="16" max="16384" width="9.140625" style="61"/>
  </cols>
  <sheetData>
    <row r="1" spans="1:22" s="190" customFormat="1">
      <c r="A1" s="190">
        <f>Application!H404</f>
        <v>1</v>
      </c>
      <c r="B1" s="190" t="s">
        <v>3287</v>
      </c>
      <c r="D1" s="190" t="str">
        <f>LOOKUP($A$1,'Lang Drops'!$A$3:$A$8,'Lang Drops'!D3:D8)</f>
        <v>&lt;select from list&gt;</v>
      </c>
      <c r="E1" s="190" t="str">
        <f>LOOKUP($A$1,'Lang Drops'!$A$3:$A$8,'Lang Drops'!E3:E8)</f>
        <v>ULDB</v>
      </c>
      <c r="F1" s="190" t="str">
        <f>LOOKUP($A$1,'Lang Drops'!$A$3:$A$8,'Lang Drops'!F3:F8)</f>
        <v>LDB</v>
      </c>
      <c r="G1" s="190" t="str">
        <f>LOOKUP($A$1,'Lang Drops'!$A$3:$A$8,'Lang Drops'!G3:G8)</f>
        <v>racer/cruiser</v>
      </c>
      <c r="H1" s="190" t="str">
        <f>LOOKUP($A$1,'Lang Drops'!$A$3:$A$8,'Lang Drops'!H3:H8)</f>
        <v>cruiser/racer</v>
      </c>
      <c r="I1" s="190" t="str">
        <f>LOOKUP($A$1,'Lang Drops'!$A$3:$A$8,'Lang Drops'!I3:I8)</f>
        <v>modern cruiser</v>
      </c>
      <c r="J1" s="190" t="str">
        <f>LOOKUP($A$1,'Lang Drops'!$A$3:$A$8,'Lang Drops'!J3:J8)</f>
        <v>traditional cruiser</v>
      </c>
      <c r="K1" s="190" t="str">
        <f>LOOKUP($A$1,'Lang Drops'!$A$3:$A$8,'Lang Drops'!K3:K8)</f>
        <v>workboat</v>
      </c>
      <c r="L1" s="190" t="str">
        <f>LOOKUP($A$1,'Lang Drops'!$A$3:$A$8,'Lang Drops'!L3:L8)</f>
        <v>other (please specify)</v>
      </c>
      <c r="M1" s="190" t="str">
        <f>LOOKUP($A$1,'Lang Drops'!$A$3:$A$8,'Lang Drops'!M3:M8)</f>
        <v>fair form</v>
      </c>
      <c r="N1" s="190" t="str">
        <f>LOOKUP($A$1,'Lang Drops'!$A$3:$A$8,'Lang Drops'!N3:N8)</f>
        <v>IOR (creased,bumps)</v>
      </c>
      <c r="O1" s="190" t="str">
        <f>LOOKUP($A$1,'Lang Drops'!$A$3:$A$8,'Lang Drops'!O3:O8)</f>
        <v>full length hard chine on waterline</v>
      </c>
      <c r="P1" s="190" t="str">
        <f>LOOKUP($A$1,'Lang Drops'!$A$3:$A$8,'Lang Drops'!P3:P8)</f>
        <v>multichined</v>
      </c>
      <c r="Q1" s="190" t="str">
        <f>LOOKUP($A$1,'Lang Drops'!$A$3:$A$8,'Lang Drops'!Q3:Q8)</f>
        <v>clinker</v>
      </c>
      <c r="R1" s="190" t="str">
        <f>LOOKUP($A$1,'Lang Drops'!$A$3:$A$8,'Lang Drops'!R3:R8)</f>
        <v>other (please specify)</v>
      </c>
    </row>
    <row r="2" spans="1:22">
      <c r="D2" s="49"/>
    </row>
    <row r="3" spans="1:22">
      <c r="A3" s="61">
        <v>1</v>
      </c>
      <c r="B3" s="61" t="s">
        <v>3288</v>
      </c>
      <c r="D3" s="21" t="s">
        <v>4057</v>
      </c>
      <c r="E3" s="21" t="s">
        <v>3295</v>
      </c>
      <c r="F3" s="21" t="s">
        <v>3297</v>
      </c>
      <c r="G3" s="21" t="s">
        <v>3299</v>
      </c>
      <c r="H3" s="21" t="s">
        <v>3244</v>
      </c>
      <c r="I3" s="21" t="s">
        <v>3246</v>
      </c>
      <c r="J3" s="21" t="s">
        <v>3248</v>
      </c>
      <c r="K3" s="21" t="s">
        <v>3250</v>
      </c>
      <c r="L3" s="21" t="s">
        <v>3252</v>
      </c>
      <c r="M3" s="21" t="s">
        <v>3261</v>
      </c>
      <c r="N3" s="21" t="s">
        <v>1568</v>
      </c>
      <c r="O3" s="401" t="s">
        <v>4525</v>
      </c>
      <c r="P3" s="21" t="s">
        <v>891</v>
      </c>
      <c r="Q3" s="21" t="s">
        <v>901</v>
      </c>
      <c r="R3" s="21" t="s">
        <v>3252</v>
      </c>
    </row>
    <row r="4" spans="1:22">
      <c r="A4" s="61">
        <v>2</v>
      </c>
      <c r="B4" s="61" t="s">
        <v>3289</v>
      </c>
      <c r="D4" s="60" t="s">
        <v>3770</v>
      </c>
      <c r="E4" s="60" t="s">
        <v>3295</v>
      </c>
      <c r="F4" s="60" t="s">
        <v>3297</v>
      </c>
      <c r="G4" s="225" t="s">
        <v>3771</v>
      </c>
      <c r="H4" s="60" t="s">
        <v>3772</v>
      </c>
      <c r="I4" s="60" t="s">
        <v>3773</v>
      </c>
      <c r="J4" s="60" t="s">
        <v>3774</v>
      </c>
      <c r="K4" s="60" t="s">
        <v>3775</v>
      </c>
      <c r="L4" s="60" t="s">
        <v>1964</v>
      </c>
      <c r="M4" s="60" t="s">
        <v>1965</v>
      </c>
      <c r="N4" s="60" t="s">
        <v>1966</v>
      </c>
      <c r="O4" s="544" t="s">
        <v>4755</v>
      </c>
      <c r="P4" s="60" t="s">
        <v>3844</v>
      </c>
      <c r="Q4" s="60" t="s">
        <v>3845</v>
      </c>
      <c r="R4" s="60" t="s">
        <v>1964</v>
      </c>
    </row>
    <row r="5" spans="1:22">
      <c r="A5" s="61">
        <v>3</v>
      </c>
      <c r="B5" s="61" t="s">
        <v>3290</v>
      </c>
      <c r="D5" s="217" t="s">
        <v>2838</v>
      </c>
      <c r="E5" s="217" t="s">
        <v>3295</v>
      </c>
      <c r="F5" s="217" t="s">
        <v>3297</v>
      </c>
      <c r="G5" s="217" t="s">
        <v>2839</v>
      </c>
      <c r="H5" s="217" t="s">
        <v>3578</v>
      </c>
      <c r="I5" s="217" t="s">
        <v>3579</v>
      </c>
      <c r="J5" s="217" t="s">
        <v>3580</v>
      </c>
      <c r="K5" s="217" t="s">
        <v>3581</v>
      </c>
      <c r="L5" s="217" t="s">
        <v>3582</v>
      </c>
      <c r="M5" s="217" t="s">
        <v>3583</v>
      </c>
      <c r="N5" s="217" t="s">
        <v>3584</v>
      </c>
      <c r="O5" s="544" t="s">
        <v>4756</v>
      </c>
      <c r="P5" s="217" t="s">
        <v>3585</v>
      </c>
      <c r="Q5" s="217" t="s">
        <v>901</v>
      </c>
      <c r="R5" s="217" t="s">
        <v>3586</v>
      </c>
    </row>
    <row r="6" spans="1:22">
      <c r="A6" s="61">
        <v>4</v>
      </c>
      <c r="B6" s="61" t="s">
        <v>3291</v>
      </c>
      <c r="O6" s="420"/>
    </row>
    <row r="7" spans="1:22" ht="15">
      <c r="A7" s="61">
        <v>5</v>
      </c>
      <c r="B7" s="61" t="s">
        <v>3292</v>
      </c>
      <c r="D7" s="217" t="s">
        <v>2821</v>
      </c>
      <c r="E7" s="217" t="s">
        <v>3295</v>
      </c>
      <c r="F7" s="217" t="s">
        <v>3297</v>
      </c>
      <c r="G7" s="217" t="s">
        <v>3889</v>
      </c>
      <c r="H7" s="217" t="s">
        <v>3610</v>
      </c>
      <c r="I7" s="217" t="s">
        <v>3611</v>
      </c>
      <c r="J7" s="217" t="s">
        <v>3612</v>
      </c>
      <c r="K7" s="217" t="s">
        <v>3613</v>
      </c>
      <c r="L7" s="217" t="s">
        <v>3184</v>
      </c>
      <c r="M7" s="217" t="s">
        <v>3185</v>
      </c>
      <c r="N7" s="217" t="s">
        <v>1518</v>
      </c>
      <c r="O7" s="462" t="s">
        <v>4438</v>
      </c>
      <c r="P7" s="217" t="s">
        <v>1519</v>
      </c>
      <c r="Q7" s="217" t="s">
        <v>2196</v>
      </c>
      <c r="R7" s="217" t="s">
        <v>3184</v>
      </c>
    </row>
    <row r="8" spans="1:22">
      <c r="A8" s="61">
        <v>6</v>
      </c>
      <c r="B8" s="61" t="s">
        <v>3204</v>
      </c>
      <c r="D8" s="21" t="s">
        <v>4057</v>
      </c>
      <c r="E8" s="21" t="s">
        <v>3295</v>
      </c>
      <c r="F8" s="21" t="s">
        <v>3297</v>
      </c>
      <c r="G8" s="21" t="s">
        <v>3299</v>
      </c>
      <c r="H8" s="21" t="s">
        <v>3244</v>
      </c>
      <c r="I8" s="21" t="s">
        <v>3246</v>
      </c>
      <c r="J8" s="21" t="s">
        <v>3248</v>
      </c>
      <c r="K8" s="21" t="s">
        <v>3250</v>
      </c>
      <c r="L8" s="21" t="s">
        <v>3252</v>
      </c>
      <c r="M8" s="21" t="s">
        <v>3261</v>
      </c>
      <c r="N8" s="21" t="s">
        <v>1568</v>
      </c>
      <c r="O8" s="401" t="s">
        <v>4437</v>
      </c>
      <c r="P8" s="21" t="s">
        <v>891</v>
      </c>
      <c r="Q8" s="21" t="s">
        <v>901</v>
      </c>
      <c r="R8" s="21" t="s">
        <v>3252</v>
      </c>
    </row>
    <row r="9" spans="1:22">
      <c r="D9" s="21"/>
    </row>
    <row r="10" spans="1:22" s="190" customFormat="1">
      <c r="A10" s="190">
        <f>Application!H415</f>
        <v>0</v>
      </c>
      <c r="B10" s="190" t="s">
        <v>3287</v>
      </c>
      <c r="D10" s="190" t="str">
        <f>LOOKUP($A$1,'Lang Drops'!$A$3:$A$8,'Lang Drops'!D12:D17)</f>
        <v>fixed single fin</v>
      </c>
      <c r="E10" s="190" t="str">
        <f>LOOKUP($A$1,'Lang Drops'!$A$3:$A$8,'Lang Drops'!E12:E17)</f>
        <v>traditonal long keel</v>
      </c>
      <c r="F10" s="190" t="str">
        <f>LOOKUP($A$1,'Lang Drops'!$A$3:$A$8,'Lang Drops'!F12:F17)</f>
        <v>centreboard</v>
      </c>
      <c r="G10" s="190" t="str">
        <f>LOOKUP($A$1,'Lang Drops'!$A$3:$A$8,'Lang Drops'!G12:G17)</f>
        <v>drop keel</v>
      </c>
      <c r="H10" s="190" t="str">
        <f>LOOKUP($A$1,'Lang Drops'!$A$3:$A$8,'Lang Drops'!H12:H17)</f>
        <v>drop keel fixed down</v>
      </c>
      <c r="I10" s="190" t="str">
        <f>LOOKUP($A$1,'Lang Drops'!$A$3:$A$8,'Lang Drops'!I12:I17)</f>
        <v>stub keel + c/board</v>
      </c>
      <c r="J10" s="190" t="str">
        <f>LOOKUP($A$1,'Lang Drops'!$A$3:$A$8,'Lang Drops'!J12:J17)</f>
        <v>twin bilge keels</v>
      </c>
      <c r="K10" s="190" t="str">
        <f>LOOKUP($A$1,'Lang Drops'!$A$3:$A$8,'Lang Drops'!K12:K17)</f>
        <v>triple keels</v>
      </c>
      <c r="L10" s="190" t="str">
        <f>LOOKUP($A$1,'Lang Drops'!$A$3:$A$8,'Lang Drops'!L12:L17)</f>
        <v>canting keel</v>
      </c>
      <c r="M10" s="190" t="str">
        <f>LOOKUP($A$1,'Lang Drops'!$A$3:$A$8,'Lang Drops'!M12:M17)</f>
        <v>other (please specify)</v>
      </c>
      <c r="N10" s="190" t="str">
        <f>LOOKUP($A$1,'Lang Drops'!$A$3:$A$8,'Lang Drops'!N12:N17)</f>
        <v>spade</v>
      </c>
      <c r="O10" s="190" t="str">
        <f>LOOKUP($A$1,'Lang Drops'!$A$3:$A$8,'Lang Drops'!O12:O17)</f>
        <v>small IOR skeg</v>
      </c>
      <c r="P10" s="190" t="str">
        <f>LOOKUP($A$1,'Lang Drops'!$A$3:$A$8,'Lang Drops'!P12:P17)</f>
        <v>modern transom hung</v>
      </c>
      <c r="Q10" s="190" t="str">
        <f>LOOKUP($A$1,'Lang Drops'!$A$3:$A$8,'Lang Drops'!Q12:Q17)</f>
        <v>half depth skeg</v>
      </c>
      <c r="R10" s="190" t="str">
        <f>LOOKUP($A$1,'Lang Drops'!$A$3:$A$8,'Lang Drops'!R12:R17)</f>
        <v>twin spade</v>
      </c>
      <c r="S10" s="190" t="str">
        <f>LOOKUP($A$1,'Lang Drops'!$A$3:$A$8,'Lang Drops'!S12:S17)</f>
        <v>twin transom hung</v>
      </c>
      <c r="T10" s="190" t="str">
        <f>LOOKUP($A$1,'Lang Drops'!$A$3:$A$8,'Lang Drops'!T12:T17)</f>
        <v>full depth skeg</v>
      </c>
      <c r="U10" s="190" t="str">
        <f>LOOKUP($A$1,'Lang Drops'!$A$3:$A$8,'Lang Drops'!U12:U17)</f>
        <v>traditonal hung on keel</v>
      </c>
      <c r="V10" s="190" t="str">
        <f>LOOKUP($A$1,'Lang Drops'!$A$3:$A$8,'Lang Drops'!V12:V17)</f>
        <v>other (please specify)</v>
      </c>
    </row>
    <row r="11" spans="1:22">
      <c r="D11" s="49"/>
    </row>
    <row r="12" spans="1:22">
      <c r="A12" s="61">
        <v>1</v>
      </c>
      <c r="B12" s="61" t="s">
        <v>3288</v>
      </c>
      <c r="D12" s="21" t="s">
        <v>196</v>
      </c>
      <c r="E12" s="21" t="s">
        <v>906</v>
      </c>
      <c r="F12" s="21" t="s">
        <v>725</v>
      </c>
      <c r="G12" s="21" t="s">
        <v>728</v>
      </c>
      <c r="H12" s="13" t="s">
        <v>1607</v>
      </c>
      <c r="I12" s="21" t="s">
        <v>3925</v>
      </c>
      <c r="J12" s="21" t="s">
        <v>3561</v>
      </c>
      <c r="K12" s="21" t="s">
        <v>3735</v>
      </c>
      <c r="L12" s="21" t="s">
        <v>3738</v>
      </c>
      <c r="M12" s="21" t="s">
        <v>3252</v>
      </c>
      <c r="N12" s="21" t="s">
        <v>3751</v>
      </c>
      <c r="O12" s="21" t="s">
        <v>4063</v>
      </c>
      <c r="P12" s="21" t="s">
        <v>3750</v>
      </c>
      <c r="Q12" s="21" t="s">
        <v>4066</v>
      </c>
      <c r="R12" s="21" t="s">
        <v>4064</v>
      </c>
      <c r="S12" s="21" t="s">
        <v>4065</v>
      </c>
      <c r="T12" s="21" t="s">
        <v>3419</v>
      </c>
      <c r="U12" s="21" t="s">
        <v>3895</v>
      </c>
      <c r="V12" s="21" t="s">
        <v>3252</v>
      </c>
    </row>
    <row r="13" spans="1:22">
      <c r="A13" s="61">
        <v>2</v>
      </c>
      <c r="B13" s="61" t="s">
        <v>3289</v>
      </c>
      <c r="D13" s="60" t="s">
        <v>3846</v>
      </c>
      <c r="E13" s="60" t="s">
        <v>3847</v>
      </c>
      <c r="F13" s="60" t="s">
        <v>3848</v>
      </c>
      <c r="G13" s="225" t="s">
        <v>3849</v>
      </c>
      <c r="H13" s="232" t="s">
        <v>3346</v>
      </c>
      <c r="I13" s="60" t="s">
        <v>3850</v>
      </c>
      <c r="J13" s="60" t="s">
        <v>3851</v>
      </c>
      <c r="K13" s="60" t="s">
        <v>3852</v>
      </c>
      <c r="L13" s="60" t="s">
        <v>3853</v>
      </c>
      <c r="M13" s="60" t="s">
        <v>1964</v>
      </c>
      <c r="N13" s="60" t="s">
        <v>3854</v>
      </c>
      <c r="O13" s="60" t="s">
        <v>3855</v>
      </c>
      <c r="P13" s="60" t="s">
        <v>3856</v>
      </c>
      <c r="Q13" s="60" t="s">
        <v>3857</v>
      </c>
      <c r="R13" s="60" t="s">
        <v>3858</v>
      </c>
      <c r="S13" s="60" t="s">
        <v>3860</v>
      </c>
      <c r="T13" s="60" t="s">
        <v>3861</v>
      </c>
      <c r="U13" s="60" t="s">
        <v>3862</v>
      </c>
      <c r="V13" s="60" t="s">
        <v>1964</v>
      </c>
    </row>
    <row r="14" spans="1:22">
      <c r="A14" s="61">
        <v>3</v>
      </c>
      <c r="B14" s="61" t="s">
        <v>3290</v>
      </c>
      <c r="D14" s="217" t="s">
        <v>3587</v>
      </c>
      <c r="E14" s="217" t="s">
        <v>3588</v>
      </c>
      <c r="F14" s="217" t="s">
        <v>3589</v>
      </c>
      <c r="G14" s="217" t="s">
        <v>3590</v>
      </c>
      <c r="H14" s="217" t="s">
        <v>1986</v>
      </c>
      <c r="I14" s="217" t="s">
        <v>1987</v>
      </c>
      <c r="J14" s="217" t="s">
        <v>1968</v>
      </c>
      <c r="K14" s="217" t="s">
        <v>1988</v>
      </c>
      <c r="L14" s="217" t="s">
        <v>1989</v>
      </c>
      <c r="M14" s="217" t="s">
        <v>3582</v>
      </c>
      <c r="N14" s="217" t="s">
        <v>1990</v>
      </c>
      <c r="O14" s="217" t="s">
        <v>1991</v>
      </c>
      <c r="P14" s="217" t="s">
        <v>1992</v>
      </c>
      <c r="Q14" s="217" t="s">
        <v>1993</v>
      </c>
      <c r="R14" s="217" t="s">
        <v>1994</v>
      </c>
      <c r="S14" s="217" t="s">
        <v>2822</v>
      </c>
      <c r="T14" s="217" t="s">
        <v>2823</v>
      </c>
      <c r="U14" s="217" t="s">
        <v>2824</v>
      </c>
      <c r="V14" s="217" t="s">
        <v>3582</v>
      </c>
    </row>
    <row r="15" spans="1:22">
      <c r="A15" s="61">
        <v>4</v>
      </c>
      <c r="B15" s="61" t="s">
        <v>3291</v>
      </c>
    </row>
    <row r="16" spans="1:22">
      <c r="A16" s="61">
        <v>5</v>
      </c>
      <c r="B16" s="61" t="s">
        <v>3292</v>
      </c>
      <c r="D16" s="217" t="s">
        <v>2992</v>
      </c>
      <c r="E16" s="217" t="s">
        <v>2993</v>
      </c>
      <c r="F16" s="217" t="s">
        <v>2994</v>
      </c>
      <c r="G16" s="217" t="s">
        <v>2995</v>
      </c>
      <c r="H16" s="217" t="s">
        <v>2996</v>
      </c>
      <c r="I16" s="217" t="s">
        <v>2997</v>
      </c>
      <c r="J16" s="217" t="s">
        <v>2998</v>
      </c>
      <c r="K16" s="217" t="s">
        <v>2999</v>
      </c>
      <c r="L16" s="217" t="s">
        <v>3000</v>
      </c>
      <c r="M16" s="238" t="s">
        <v>3001</v>
      </c>
      <c r="N16" s="217" t="s">
        <v>3002</v>
      </c>
      <c r="O16" s="217" t="s">
        <v>3003</v>
      </c>
      <c r="P16" s="217" t="s">
        <v>3004</v>
      </c>
      <c r="Q16" s="217" t="s">
        <v>3105</v>
      </c>
      <c r="R16" s="217" t="s">
        <v>4052</v>
      </c>
      <c r="S16" s="217" t="s">
        <v>3235</v>
      </c>
      <c r="T16" s="217" t="s">
        <v>3236</v>
      </c>
      <c r="U16" s="217" t="s">
        <v>2919</v>
      </c>
      <c r="V16" s="217" t="s">
        <v>3184</v>
      </c>
    </row>
    <row r="17" spans="1:22">
      <c r="A17" s="61">
        <v>6</v>
      </c>
      <c r="B17" s="61" t="s">
        <v>3204</v>
      </c>
      <c r="D17" s="21" t="s">
        <v>196</v>
      </c>
      <c r="E17" s="21" t="s">
        <v>906</v>
      </c>
      <c r="F17" s="21" t="s">
        <v>725</v>
      </c>
      <c r="G17" s="21" t="s">
        <v>728</v>
      </c>
      <c r="H17" s="13" t="s">
        <v>1607</v>
      </c>
      <c r="I17" s="21" t="s">
        <v>3925</v>
      </c>
      <c r="J17" s="21" t="s">
        <v>3561</v>
      </c>
      <c r="K17" s="21" t="s">
        <v>3735</v>
      </c>
      <c r="L17" s="21" t="s">
        <v>3738</v>
      </c>
      <c r="M17" s="21" t="s">
        <v>3252</v>
      </c>
      <c r="N17" s="21" t="s">
        <v>3751</v>
      </c>
      <c r="O17" s="21" t="s">
        <v>4063</v>
      </c>
      <c r="P17" s="21" t="s">
        <v>3750</v>
      </c>
      <c r="Q17" s="21" t="s">
        <v>4066</v>
      </c>
      <c r="R17" s="21" t="s">
        <v>4064</v>
      </c>
      <c r="S17" s="21" t="s">
        <v>4065</v>
      </c>
      <c r="T17" s="21" t="s">
        <v>3419</v>
      </c>
      <c r="U17" s="21" t="s">
        <v>3895</v>
      </c>
      <c r="V17" s="21" t="s">
        <v>3252</v>
      </c>
    </row>
    <row r="20" spans="1:22" s="190" customFormat="1">
      <c r="A20" s="190">
        <f>Application!H430</f>
        <v>0</v>
      </c>
      <c r="B20" s="190" t="s">
        <v>3287</v>
      </c>
      <c r="D20" s="190" t="str">
        <f>LOOKUP($A$1,'Lang Drops'!$A$3:$A$8,'Lang Drops'!D22:D27)</f>
        <v>very exotic (eg Nomex)</v>
      </c>
      <c r="E20" s="190" t="str">
        <f>LOOKUP($A$1,'Lang Drops'!$A$3:$A$8,'Lang Drops'!E22:E27)</f>
        <v>carbon sandwich</v>
      </c>
      <c r="F20" s="190" t="str">
        <f>LOOKUP($A$1,'Lang Drops'!$A$3:$A$8,'Lang Drops'!F22:F27)</f>
        <v>kevlar sandwich</v>
      </c>
      <c r="G20" s="190" t="str">
        <f>LOOKUP($A$1,'Lang Drops'!$A$3:$A$8,'Lang Drops'!G22:G27)</f>
        <v>glass sandwich</v>
      </c>
      <c r="H20" s="190" t="str">
        <f>LOOKUP($A$1,'Lang Drops'!$A$3:$A$8,'Lang Drops'!H22:H27)</f>
        <v>solid glass</v>
      </c>
      <c r="I20" s="190" t="str">
        <f>LOOKUP($A$1,'Lang Drops'!$A$3:$A$8,'Lang Drops'!I22:I27)</f>
        <v>aluminium</v>
      </c>
      <c r="J20" s="190" t="str">
        <f>LOOKUP($A$1,'Lang Drops'!$A$3:$A$8,'Lang Drops'!J22:J27)</f>
        <v>moulded wood</v>
      </c>
      <c r="K20" s="190" t="str">
        <f>LOOKUP($A$1,'Lang Drops'!$A$3:$A$8,'Lang Drops'!K22:K27)</f>
        <v>ply</v>
      </c>
      <c r="L20" s="190" t="str">
        <f>LOOKUP($A$1,'Lang Drops'!$A$3:$A$8,'Lang Drops'!L22:L27)</f>
        <v>heavy classic timber</v>
      </c>
      <c r="M20" s="190" t="str">
        <f>LOOKUP($A$1,'Lang Drops'!$A$3:$A$8,'Lang Drops'!M22:M27)</f>
        <v>steel</v>
      </c>
      <c r="N20" s="190" t="str">
        <f>LOOKUP($A$1,'Lang Drops'!$A$3:$A$8,'Lang Drops'!N22:N27)</f>
        <v>concrete</v>
      </c>
      <c r="O20" s="190" t="str">
        <f>LOOKUP($A$1,'Lang Drops'!$A$3:$A$8,'Lang Drops'!O22:O27)</f>
        <v>other (please specify)</v>
      </c>
    </row>
    <row r="21" spans="1:22">
      <c r="D21" s="49"/>
    </row>
    <row r="22" spans="1:22">
      <c r="A22" s="61">
        <v>1</v>
      </c>
      <c r="B22" s="61" t="s">
        <v>3288</v>
      </c>
      <c r="D22" s="21" t="s">
        <v>3897</v>
      </c>
      <c r="E22" s="21" t="s">
        <v>645</v>
      </c>
      <c r="F22" s="21" t="s">
        <v>646</v>
      </c>
      <c r="G22" s="21" t="s">
        <v>3900</v>
      </c>
      <c r="H22" s="21" t="s">
        <v>3902</v>
      </c>
      <c r="I22" s="21" t="s">
        <v>3904</v>
      </c>
      <c r="J22" s="21" t="s">
        <v>3908</v>
      </c>
      <c r="K22" s="21" t="s">
        <v>3911</v>
      </c>
      <c r="L22" s="21" t="s">
        <v>3913</v>
      </c>
      <c r="M22" s="21" t="s">
        <v>3915</v>
      </c>
      <c r="N22" s="21" t="s">
        <v>3917</v>
      </c>
      <c r="O22" s="21" t="s">
        <v>3252</v>
      </c>
    </row>
    <row r="23" spans="1:22">
      <c r="A23" s="61">
        <v>2</v>
      </c>
      <c r="B23" s="61" t="s">
        <v>3289</v>
      </c>
      <c r="D23" s="60" t="s">
        <v>3864</v>
      </c>
      <c r="E23" s="60" t="s">
        <v>3863</v>
      </c>
      <c r="F23" s="60" t="s">
        <v>4</v>
      </c>
      <c r="G23" s="225" t="s">
        <v>5</v>
      </c>
      <c r="H23" s="60" t="s">
        <v>6</v>
      </c>
      <c r="I23" s="60" t="s">
        <v>3904</v>
      </c>
      <c r="J23" s="60" t="s">
        <v>7</v>
      </c>
      <c r="K23" s="60" t="s">
        <v>8</v>
      </c>
      <c r="L23" s="60" t="s">
        <v>9</v>
      </c>
      <c r="M23" s="82" t="s">
        <v>10</v>
      </c>
      <c r="N23" s="60" t="s">
        <v>11</v>
      </c>
      <c r="O23" s="60" t="s">
        <v>1964</v>
      </c>
    </row>
    <row r="24" spans="1:22">
      <c r="A24" s="61">
        <v>3</v>
      </c>
      <c r="B24" s="61" t="s">
        <v>3290</v>
      </c>
      <c r="D24" s="217" t="s">
        <v>2825</v>
      </c>
      <c r="E24" s="217" t="s">
        <v>2826</v>
      </c>
      <c r="F24" s="217" t="s">
        <v>4</v>
      </c>
      <c r="G24" s="217" t="s">
        <v>2827</v>
      </c>
      <c r="H24" s="217" t="s">
        <v>2828</v>
      </c>
      <c r="I24" s="217" t="s">
        <v>2829</v>
      </c>
      <c r="J24" s="217" t="s">
        <v>2830</v>
      </c>
      <c r="K24" s="217" t="s">
        <v>2831</v>
      </c>
      <c r="L24" s="217" t="s">
        <v>2832</v>
      </c>
      <c r="M24" s="217" t="s">
        <v>2833</v>
      </c>
      <c r="N24" s="217" t="s">
        <v>3233</v>
      </c>
      <c r="O24" s="217" t="s">
        <v>3582</v>
      </c>
    </row>
    <row r="25" spans="1:22">
      <c r="A25" s="61">
        <v>4</v>
      </c>
      <c r="B25" s="61" t="s">
        <v>3291</v>
      </c>
    </row>
    <row r="26" spans="1:22">
      <c r="A26" s="61">
        <v>5</v>
      </c>
      <c r="B26" s="61" t="s">
        <v>3292</v>
      </c>
      <c r="D26" s="217" t="s">
        <v>2920</v>
      </c>
      <c r="E26" s="217" t="s">
        <v>2921</v>
      </c>
      <c r="F26" s="217" t="s">
        <v>4</v>
      </c>
      <c r="G26" s="217" t="s">
        <v>2922</v>
      </c>
      <c r="H26" s="217" t="s">
        <v>2923</v>
      </c>
      <c r="I26" s="217" t="s">
        <v>3228</v>
      </c>
      <c r="J26" s="217" t="s">
        <v>3229</v>
      </c>
      <c r="K26" s="217" t="s">
        <v>3230</v>
      </c>
      <c r="L26" s="217" t="s">
        <v>3231</v>
      </c>
      <c r="M26" s="217" t="s">
        <v>3232</v>
      </c>
      <c r="N26" s="217" t="s">
        <v>3233</v>
      </c>
      <c r="O26" s="217" t="s">
        <v>3184</v>
      </c>
    </row>
    <row r="27" spans="1:22">
      <c r="A27" s="61">
        <v>6</v>
      </c>
      <c r="B27" s="61" t="s">
        <v>3204</v>
      </c>
      <c r="D27" s="21" t="s">
        <v>3897</v>
      </c>
      <c r="E27" s="21" t="s">
        <v>645</v>
      </c>
      <c r="F27" s="21" t="s">
        <v>646</v>
      </c>
      <c r="G27" s="21" t="s">
        <v>3900</v>
      </c>
      <c r="H27" s="21" t="s">
        <v>3902</v>
      </c>
      <c r="I27" s="21" t="s">
        <v>3904</v>
      </c>
      <c r="J27" s="21" t="s">
        <v>3908</v>
      </c>
      <c r="K27" s="21" t="s">
        <v>3911</v>
      </c>
      <c r="L27" s="21" t="s">
        <v>3913</v>
      </c>
      <c r="M27" s="21" t="s">
        <v>3915</v>
      </c>
      <c r="N27" s="21" t="s">
        <v>3917</v>
      </c>
      <c r="O27" s="21" t="s">
        <v>3252</v>
      </c>
    </row>
    <row r="28" spans="1:22">
      <c r="D28" s="217"/>
      <c r="E28" s="217"/>
      <c r="F28" s="217"/>
      <c r="G28" s="217"/>
      <c r="H28" s="217"/>
      <c r="I28" s="217"/>
      <c r="J28" s="217"/>
      <c r="K28" s="217"/>
      <c r="L28" s="217"/>
      <c r="M28" s="217"/>
      <c r="N28" s="217"/>
      <c r="O28" s="217"/>
    </row>
    <row r="30" spans="1:22" s="190" customFormat="1">
      <c r="A30" s="190">
        <f>Application!H438</f>
        <v>0</v>
      </c>
      <c r="B30" s="190" t="s">
        <v>3287</v>
      </c>
      <c r="D30" s="190" t="str">
        <f>LOOKUP($A$1,'Lang Drops'!$A$3:$A$8,'Lang Drops'!D32:D37)</f>
        <v>empty interior</v>
      </c>
      <c r="E30" s="190" t="str">
        <f ca="1">LOOKUP($A$1,'Lang Drops'!$A$3:$A$8,'Lang Drops'!E32:E47)</f>
        <v>spartan interior, minimal equipment</v>
      </c>
      <c r="F30" s="190" t="str">
        <f ca="1">LOOKUP($A$1,'Lang Drops'!$A$3:$A$8,'Lang Drops'!F32:F47)</f>
        <v>central fitout but empty fore/aft</v>
      </c>
      <c r="G30" s="190" t="str">
        <f ca="1">LOOKUP($A$1,'Lang Drops'!$A$3:$A$8,'Lang Drops'!G32:G47)</f>
        <v>full fitout including fore/aft berths</v>
      </c>
      <c r="H30" s="190" t="str">
        <f ca="1">LOOKUP($A$1,'Lang Drops'!$A$3:$A$8,'Lang Drops'!H32:H47)</f>
        <v>heavy cruising fitout with many extras</v>
      </c>
      <c r="I30" s="190" t="str">
        <f ca="1">LOOKUP($A$1,'Lang Drops'!$A$3:$A$8,'Lang Drops'!I32:I47)</f>
        <v>other (please specify)</v>
      </c>
      <c r="J30" s="190">
        <f ca="1">LOOKUP($A$1,'Lang Drops'!$A$3:$A$8,'Lang Drops'!J32:J47)</f>
        <v>0</v>
      </c>
      <c r="K30" s="190">
        <f ca="1">LOOKUP($A$1,'Lang Drops'!$A$3:$A$8,'Lang Drops'!K32:K47)</f>
        <v>0</v>
      </c>
      <c r="L30" s="190" t="str">
        <f ca="1">LOOKUP($A$1,'Lang Drops'!$A$3:$A$8,'Lang Drops'!L32:L47)</f>
        <v>none</v>
      </c>
      <c r="M30" s="190" t="str">
        <f ca="1">LOOKUP($A$1,'Lang Drops'!$A$3:$A$8,'Lang Drops'!M32:M47)</f>
        <v>Twin lateral retractable</v>
      </c>
      <c r="N30" s="190" t="str">
        <f ca="1">LOOKUP($A$1,'Lang Drops'!$A$3:$A$8,'Lang Drops'!N32:N47)</f>
        <v>Forward, gybing (non-controllable)</v>
      </c>
      <c r="O30" s="190" t="str">
        <f ca="1">LOOKUP($A$1,'Lang Drops'!$A$3:$A$8,'Lang Drops'!O32:O47)</f>
        <v>on keel</v>
      </c>
      <c r="P30" s="190" t="str">
        <f ca="1">LOOKUP($A$1,'Lang Drops'!$A$3:$A$8,'Lang Drops'!P32:P47)</f>
        <v>on canard</v>
      </c>
      <c r="Q30" s="190" t="str">
        <f ca="1">LOOKUP($A$1,'Lang Drops'!$A$3:$A$8,'Lang Drops'!Q32:Q47)</f>
        <v>forward rudder (controllable)</v>
      </c>
      <c r="R30" s="190" t="str">
        <f ca="1">LOOKUP($A$1,'Lang Drops'!$A$3:$A$8,'Lang Drops'!R32:R47)</f>
        <v>canard</v>
      </c>
      <c r="S30" s="190" t="str">
        <f ca="1">LOOKUP($A$1,'Lang Drops'!$A$3:$A$8,'Lang Drops'!S32:S47)</f>
        <v>canard with trim tab</v>
      </c>
    </row>
    <row r="31" spans="1:22">
      <c r="D31" s="49"/>
    </row>
    <row r="32" spans="1:22">
      <c r="A32" s="61">
        <v>1</v>
      </c>
      <c r="B32" s="61" t="s">
        <v>3288</v>
      </c>
      <c r="D32" s="401" t="s">
        <v>4417</v>
      </c>
      <c r="E32" s="401" t="s">
        <v>4418</v>
      </c>
      <c r="F32" s="401" t="s">
        <v>4419</v>
      </c>
      <c r="G32" s="401" t="s">
        <v>4420</v>
      </c>
      <c r="H32" s="401" t="s">
        <v>4421</v>
      </c>
      <c r="I32" s="21" t="s">
        <v>3252</v>
      </c>
      <c r="J32" s="21"/>
      <c r="L32" s="21" t="s">
        <v>4068</v>
      </c>
      <c r="M32" s="21" t="s">
        <v>4067</v>
      </c>
      <c r="N32" s="21" t="s">
        <v>3284</v>
      </c>
      <c r="O32" s="21" t="s">
        <v>4069</v>
      </c>
      <c r="P32" s="21" t="s">
        <v>3285</v>
      </c>
      <c r="Q32" s="21" t="s">
        <v>3283</v>
      </c>
      <c r="R32" s="21" t="s">
        <v>707</v>
      </c>
      <c r="S32" s="21" t="s">
        <v>4072</v>
      </c>
    </row>
    <row r="33" spans="1:20">
      <c r="A33" s="61">
        <v>2</v>
      </c>
      <c r="B33" s="61" t="s">
        <v>3289</v>
      </c>
      <c r="D33" t="s">
        <v>4426</v>
      </c>
      <c r="E33" t="s">
        <v>4422</v>
      </c>
      <c r="F33" t="s">
        <v>4423</v>
      </c>
      <c r="G33" t="s">
        <v>4424</v>
      </c>
      <c r="H33" t="s">
        <v>4425</v>
      </c>
      <c r="I33" s="60" t="s">
        <v>1964</v>
      </c>
      <c r="J33" s="458"/>
      <c r="L33" s="60" t="s">
        <v>3424</v>
      </c>
      <c r="M33" s="60" t="s">
        <v>3427</v>
      </c>
      <c r="N33" s="60" t="s">
        <v>3428</v>
      </c>
      <c r="O33" s="60" t="s">
        <v>3862</v>
      </c>
      <c r="P33" s="60" t="s">
        <v>3425</v>
      </c>
      <c r="Q33" s="60" t="s">
        <v>3429</v>
      </c>
      <c r="R33" s="60" t="s">
        <v>707</v>
      </c>
      <c r="S33" s="60" t="s">
        <v>3426</v>
      </c>
    </row>
    <row r="34" spans="1:20">
      <c r="A34" s="61">
        <v>3</v>
      </c>
      <c r="B34" s="61" t="s">
        <v>3290</v>
      </c>
      <c r="D34" t="s">
        <v>4432</v>
      </c>
      <c r="E34" t="s">
        <v>4433</v>
      </c>
      <c r="F34" t="s">
        <v>4434</v>
      </c>
      <c r="G34" t="s">
        <v>4435</v>
      </c>
      <c r="H34" t="s">
        <v>4436</v>
      </c>
      <c r="I34" s="217" t="s">
        <v>3582</v>
      </c>
      <c r="J34" s="459"/>
      <c r="L34" s="217" t="s">
        <v>4179</v>
      </c>
      <c r="M34" s="217" t="s">
        <v>4180</v>
      </c>
      <c r="N34" s="217" t="s">
        <v>4181</v>
      </c>
      <c r="O34" s="217" t="s">
        <v>2824</v>
      </c>
      <c r="P34" s="217" t="s">
        <v>3314</v>
      </c>
      <c r="Q34" s="217" t="s">
        <v>3315</v>
      </c>
      <c r="R34" s="217" t="s">
        <v>707</v>
      </c>
      <c r="S34" s="217" t="s">
        <v>3316</v>
      </c>
    </row>
    <row r="35" spans="1:20">
      <c r="A35" s="61">
        <v>4</v>
      </c>
      <c r="B35" s="61" t="s">
        <v>3291</v>
      </c>
      <c r="D35" s="420"/>
      <c r="E35" s="420"/>
      <c r="F35" s="420"/>
      <c r="G35" s="420"/>
      <c r="H35" s="420"/>
      <c r="J35" s="420"/>
    </row>
    <row r="36" spans="1:20" ht="15">
      <c r="A36" s="61">
        <v>5</v>
      </c>
      <c r="B36" s="61" t="s">
        <v>3292</v>
      </c>
      <c r="D36" t="s">
        <v>4427</v>
      </c>
      <c r="E36" t="s">
        <v>4428</v>
      </c>
      <c r="F36" s="462" t="s">
        <v>4429</v>
      </c>
      <c r="G36" s="403" t="s">
        <v>4430</v>
      </c>
      <c r="H36" s="462" t="s">
        <v>4431</v>
      </c>
      <c r="I36" s="217" t="s">
        <v>3184</v>
      </c>
      <c r="J36" s="459"/>
      <c r="L36" s="217" t="s">
        <v>3350</v>
      </c>
      <c r="M36" s="217" t="s">
        <v>3351</v>
      </c>
      <c r="N36" s="217" t="s">
        <v>3352</v>
      </c>
      <c r="O36" s="217" t="s">
        <v>2919</v>
      </c>
      <c r="P36" s="217" t="s">
        <v>3353</v>
      </c>
      <c r="Q36" s="217" t="s">
        <v>2197</v>
      </c>
      <c r="R36" s="217" t="s">
        <v>707</v>
      </c>
      <c r="S36" s="217" t="s">
        <v>3354</v>
      </c>
    </row>
    <row r="37" spans="1:20">
      <c r="A37" s="61">
        <v>6</v>
      </c>
      <c r="B37" s="61" t="s">
        <v>3204</v>
      </c>
      <c r="D37" s="401" t="s">
        <v>4417</v>
      </c>
      <c r="E37" s="401" t="s">
        <v>4418</v>
      </c>
      <c r="F37" s="401" t="s">
        <v>4419</v>
      </c>
      <c r="G37" s="401" t="s">
        <v>4420</v>
      </c>
      <c r="H37" s="401" t="s">
        <v>4421</v>
      </c>
      <c r="I37" s="21" t="s">
        <v>3252</v>
      </c>
      <c r="J37" s="460"/>
      <c r="L37" s="21" t="s">
        <v>4068</v>
      </c>
      <c r="M37" s="21" t="s">
        <v>4067</v>
      </c>
      <c r="N37" s="21" t="s">
        <v>3284</v>
      </c>
      <c r="O37" s="21" t="s">
        <v>4069</v>
      </c>
      <c r="P37" s="21" t="s">
        <v>3285</v>
      </c>
      <c r="Q37" s="21" t="s">
        <v>3283</v>
      </c>
      <c r="R37" s="21" t="s">
        <v>707</v>
      </c>
      <c r="S37" s="21" t="s">
        <v>4072</v>
      </c>
    </row>
    <row r="38" spans="1:20">
      <c r="D38" s="217"/>
      <c r="E38" s="217"/>
      <c r="F38" s="217"/>
      <c r="G38" s="217"/>
      <c r="H38" s="217"/>
      <c r="I38" s="217"/>
      <c r="J38" s="217"/>
      <c r="K38" s="217"/>
      <c r="L38" s="217"/>
      <c r="M38" s="217"/>
      <c r="N38" s="217"/>
      <c r="O38" s="217"/>
      <c r="P38" s="217"/>
      <c r="Q38" s="217"/>
      <c r="R38" s="217"/>
      <c r="S38" s="217"/>
    </row>
    <row r="40" spans="1:20" s="190" customFormat="1">
      <c r="A40" s="190">
        <f>Application!H446</f>
        <v>0</v>
      </c>
      <c r="B40" s="190" t="s">
        <v>3287</v>
      </c>
      <c r="D40" s="190" t="str">
        <f>LOOKUP($A$1,'Lang Drops'!$A$3:$A$8,'Lang Drops'!D42:D47)</f>
        <v>masthead</v>
      </c>
      <c r="E40" s="190" t="str">
        <f>LOOKUP($A$1,'Lang Drops'!$A$3:$A$8,'Lang Drops'!E42:E47)</f>
        <v>fractional</v>
      </c>
      <c r="F40" s="190" t="str">
        <f>LOOKUP($A$1,'Lang Drops'!$A$3:$A$8,'Lang Drops'!F42:F47)</f>
        <v>no pole or bowsprit</v>
      </c>
      <c r="G40" s="190" t="str">
        <f>LOOKUP($A$1,'Lang Drops'!$A$3:$A$8,'Lang Drops'!G42:G47)</f>
        <v>centreline bowsprit only</v>
      </c>
      <c r="H40" s="190" t="str">
        <f>LOOKUP($A$1,'Lang Drops'!$A$3:$A$8,'Lang Drops'!H42:H47)</f>
        <v>spinnaker pole(s)</v>
      </c>
      <c r="I40" s="190" t="str">
        <f>LOOKUP($A$1,'Lang Drops'!$A$3:$A$8,'Lang Drops'!I42:I47)</f>
        <v>spinnaker pole(s) and bowsprit</v>
      </c>
      <c r="J40" s="190" t="str">
        <f>LOOKUP($A$1,'Lang Drops'!$A$3:$A$8,'Lang Drops'!J42:J47)</f>
        <v>whisker pole for headsail only (no spi)</v>
      </c>
      <c r="K40" s="190" t="str">
        <f>LOOKUP($A$1,'Lang Drops'!$A$3:$A$8,'Lang Drops'!K42:K47)</f>
        <v>articulating bowsprit</v>
      </c>
      <c r="L40" s="190" t="str">
        <f>LOOKUP($A$1,'Lang Drops'!$A$3:$A$8,'Lang Drops'!L42:L47)</f>
        <v>aluminium/alloy</v>
      </c>
      <c r="M40" s="190" t="str">
        <f>LOOKUP($A$1,'Lang Drops'!$A$3:$A$8,'Lang Drops'!M42:M47)</f>
        <v>carbon</v>
      </c>
      <c r="N40" s="190" t="str">
        <f>LOOKUP($A$1,'Lang Drops'!$A$3:$A$8,'Lang Drops'!N42:N47)</f>
        <v>wood</v>
      </c>
      <c r="O40" s="190" t="str">
        <f>LOOKUP($A$1,'Lang Drops'!$A$3:$A$8,'Lang Drops'!O42:O47)</f>
        <v>other (please specify)</v>
      </c>
      <c r="P40" s="190" t="str">
        <f>LOOKUP($A$1,'Lang Drops'!$A$3:$A$8,'Lang Drops'!P42:P47)</f>
        <v>less than 5°</v>
      </c>
      <c r="Q40" s="190" t="str">
        <f>LOOKUP($A$1,'Lang Drops'!$A$3:$A$8,'Lang Drops'!Q42:Q47)</f>
        <v>more than 5°</v>
      </c>
    </row>
    <row r="41" spans="1:20">
      <c r="D41" s="49"/>
    </row>
    <row r="42" spans="1:20">
      <c r="A42" s="61">
        <v>1</v>
      </c>
      <c r="B42" s="61" t="s">
        <v>3288</v>
      </c>
      <c r="D42" s="21" t="s">
        <v>386</v>
      </c>
      <c r="E42" s="21" t="s">
        <v>388</v>
      </c>
      <c r="F42" s="21" t="s">
        <v>229</v>
      </c>
      <c r="G42" s="21" t="s">
        <v>395</v>
      </c>
      <c r="H42" s="21" t="s">
        <v>228</v>
      </c>
      <c r="I42" s="21" t="s">
        <v>398</v>
      </c>
      <c r="J42" s="21" t="s">
        <v>227</v>
      </c>
      <c r="K42" s="21" t="s">
        <v>400</v>
      </c>
      <c r="L42" s="21" t="s">
        <v>401</v>
      </c>
      <c r="M42" s="21" t="s">
        <v>3740</v>
      </c>
      <c r="N42" s="21" t="s">
        <v>405</v>
      </c>
      <c r="O42" s="21" t="s">
        <v>3252</v>
      </c>
      <c r="P42" s="60" t="s">
        <v>3600</v>
      </c>
      <c r="Q42" s="60" t="s">
        <v>3601</v>
      </c>
      <c r="S42" s="21"/>
      <c r="T42" s="21"/>
    </row>
    <row r="43" spans="1:20">
      <c r="A43" s="61">
        <v>2</v>
      </c>
      <c r="B43" s="61" t="s">
        <v>3289</v>
      </c>
      <c r="D43" s="15" t="s">
        <v>1053</v>
      </c>
      <c r="E43" s="60" t="s">
        <v>3430</v>
      </c>
      <c r="F43" s="60" t="s">
        <v>3431</v>
      </c>
      <c r="G43" s="225" t="s">
        <v>3432</v>
      </c>
      <c r="H43" s="60" t="s">
        <v>3433</v>
      </c>
      <c r="I43" s="60" t="s">
        <v>3434</v>
      </c>
      <c r="J43" s="60" t="s">
        <v>3436</v>
      </c>
      <c r="K43" s="60" t="s">
        <v>3435</v>
      </c>
      <c r="L43" s="60" t="s">
        <v>3904</v>
      </c>
      <c r="M43" s="60" t="s">
        <v>3437</v>
      </c>
      <c r="N43" s="60" t="s">
        <v>3438</v>
      </c>
      <c r="O43" s="60" t="s">
        <v>1964</v>
      </c>
      <c r="P43" s="60" t="s">
        <v>3439</v>
      </c>
      <c r="Q43" s="60" t="s">
        <v>3597</v>
      </c>
    </row>
    <row r="44" spans="1:20">
      <c r="A44" s="61">
        <v>3</v>
      </c>
      <c r="B44" s="61" t="s">
        <v>3290</v>
      </c>
      <c r="D44" s="217" t="s">
        <v>3317</v>
      </c>
      <c r="E44" s="217" t="s">
        <v>3318</v>
      </c>
      <c r="F44" s="217" t="s">
        <v>3780</v>
      </c>
      <c r="G44" s="217" t="s">
        <v>216</v>
      </c>
      <c r="H44" s="217" t="s">
        <v>217</v>
      </c>
      <c r="I44" s="217" t="s">
        <v>218</v>
      </c>
      <c r="J44" s="217" t="s">
        <v>219</v>
      </c>
      <c r="K44" s="217" t="s">
        <v>1576</v>
      </c>
      <c r="L44" s="217" t="s">
        <v>2829</v>
      </c>
      <c r="M44" s="217" t="s">
        <v>1577</v>
      </c>
      <c r="N44" s="217" t="s">
        <v>1578</v>
      </c>
      <c r="O44" s="217" t="s">
        <v>3582</v>
      </c>
      <c r="P44" s="217" t="s">
        <v>1579</v>
      </c>
      <c r="Q44" s="217" t="s">
        <v>3598</v>
      </c>
    </row>
    <row r="45" spans="1:20">
      <c r="A45" s="61">
        <v>4</v>
      </c>
      <c r="B45" s="61" t="s">
        <v>3291</v>
      </c>
    </row>
    <row r="46" spans="1:20">
      <c r="A46" s="61">
        <v>5</v>
      </c>
      <c r="B46" s="61" t="s">
        <v>3292</v>
      </c>
      <c r="D46" s="238" t="s">
        <v>3355</v>
      </c>
      <c r="E46" s="217" t="s">
        <v>3356</v>
      </c>
      <c r="F46" s="217" t="s">
        <v>3357</v>
      </c>
      <c r="G46" s="217" t="s">
        <v>3187</v>
      </c>
      <c r="H46" s="217" t="s">
        <v>3188</v>
      </c>
      <c r="I46" s="217" t="s">
        <v>3189</v>
      </c>
      <c r="J46" s="217" t="s">
        <v>3190</v>
      </c>
      <c r="K46" s="217" t="s">
        <v>3191</v>
      </c>
      <c r="L46" s="217" t="s">
        <v>3228</v>
      </c>
      <c r="M46" s="217" t="s">
        <v>3192</v>
      </c>
      <c r="N46" s="217" t="s">
        <v>3193</v>
      </c>
      <c r="O46" s="217" t="s">
        <v>3184</v>
      </c>
      <c r="P46" s="217" t="s">
        <v>3194</v>
      </c>
      <c r="Q46" s="217" t="s">
        <v>3599</v>
      </c>
    </row>
    <row r="47" spans="1:20">
      <c r="A47" s="61">
        <v>6</v>
      </c>
      <c r="B47" s="61" t="s">
        <v>3204</v>
      </c>
      <c r="D47" s="21" t="s">
        <v>386</v>
      </c>
      <c r="E47" s="21" t="s">
        <v>388</v>
      </c>
      <c r="F47" s="21" t="s">
        <v>229</v>
      </c>
      <c r="G47" s="21" t="s">
        <v>395</v>
      </c>
      <c r="H47" s="21" t="s">
        <v>228</v>
      </c>
      <c r="I47" s="21" t="s">
        <v>398</v>
      </c>
      <c r="J47" s="21" t="s">
        <v>227</v>
      </c>
      <c r="K47" s="21" t="s">
        <v>400</v>
      </c>
      <c r="L47" s="21" t="s">
        <v>401</v>
      </c>
      <c r="M47" s="21" t="s">
        <v>3740</v>
      </c>
      <c r="N47" s="21" t="s">
        <v>405</v>
      </c>
      <c r="O47" s="21" t="s">
        <v>3252</v>
      </c>
      <c r="P47" s="21" t="s">
        <v>1502</v>
      </c>
      <c r="Q47" s="21" t="s">
        <v>3596</v>
      </c>
      <c r="S47" s="21"/>
    </row>
    <row r="48" spans="1:20">
      <c r="D48" s="238"/>
      <c r="E48" s="217"/>
      <c r="F48" s="217"/>
      <c r="G48" s="217"/>
      <c r="H48" s="217"/>
      <c r="I48" s="217"/>
      <c r="J48" s="217"/>
      <c r="K48" s="217"/>
      <c r="L48" s="217"/>
      <c r="M48" s="217"/>
      <c r="N48" s="217"/>
      <c r="O48" s="217"/>
      <c r="P48" s="217"/>
      <c r="Q48" s="217"/>
      <c r="R48" s="217"/>
    </row>
    <row r="49" spans="1:26">
      <c r="D49" s="21"/>
    </row>
    <row r="50" spans="1:26" s="190" customFormat="1">
      <c r="A50" s="190">
        <f>Application!H454</f>
        <v>0</v>
      </c>
      <c r="B50" s="190" t="s">
        <v>3287</v>
      </c>
      <c r="D50" s="190" t="str">
        <f>LOOKUP($A$1,'Lang Drops'!$A$3:$A$8,'Lang Drops'!D52:D57)</f>
        <v>no engine</v>
      </c>
      <c r="E50" s="190" t="str">
        <f>LOOKUP($A$1,'Lang Drops'!$A$3:$A$8,'Lang Drops'!E52:E57)</f>
        <v>outboard</v>
      </c>
      <c r="F50" s="190" t="str">
        <f>LOOKUP($A$1,'Lang Drops'!$A$3:$A$8,'Lang Drops'!F52:F57)</f>
        <v>inboard</v>
      </c>
      <c r="G50" s="190" t="str">
        <f>LOOKUP($A$1,'Lang Drops'!$A$3:$A$8,'Lang Drops'!G52:G57)</f>
        <v>n/a:outboard engine</v>
      </c>
      <c r="H50" s="190" t="str">
        <f>LOOKUP($A$1,'Lang Drops'!$A$3:$A$8,'Lang Drops'!H52:H57)</f>
        <v>2 folding / feathering blades</v>
      </c>
      <c r="I50" s="190" t="str">
        <f>LOOKUP($A$1,'Lang Drops'!$A$3:$A$8,'Lang Drops'!I52:I57)</f>
        <v>2 fixed blades</v>
      </c>
      <c r="J50" s="190" t="str">
        <f>LOOKUP($A$1,'Lang Drops'!$A$3:$A$8,'Lang Drops'!J52:J57)</f>
        <v>3 fixed blades</v>
      </c>
      <c r="K50" s="190" t="str">
        <f>LOOKUP($A$1,'Lang Drops'!$A$3:$A$8,'Lang Drops'!K52:K57)</f>
        <v>3 feathering blades</v>
      </c>
      <c r="L50" s="190" t="str">
        <f>LOOKUP($A$1,'Lang Drops'!$A$3:$A$8,'Lang Drops'!L52:L57)</f>
        <v>3 folding blades</v>
      </c>
      <c r="M50" s="190" t="str">
        <f>LOOKUP($A$1,'Lang Drops'!$A$3:$A$8,'Lang Drops'!M52:M57)</f>
        <v>4+ folding / feathering blades</v>
      </c>
      <c r="N50" s="190" t="str">
        <f>LOOKUP($A$1,'Lang Drops'!$A$3:$A$8,'Lang Drops'!N52:N57)</f>
        <v>retractable</v>
      </c>
      <c r="R50" s="190" t="str">
        <f>LOOKUP($A$1,'Lang Drops'!$A$3:$A$8,'Lang Drops'!R52:R57)</f>
        <v>bermudian</v>
      </c>
      <c r="S50" s="190" t="str">
        <f>LOOKUP($A$1,'Lang Drops'!$A$3:$A$8,'Lang Drops'!S52:S57)</f>
        <v>gaff</v>
      </c>
      <c r="T50" s="190" t="str">
        <f>LOOKUP($A$1,'Lang Drops'!$A$3:$A$8,'Lang Drops'!T52:T57)</f>
        <v>wishbone</v>
      </c>
      <c r="U50" s="190" t="str">
        <f>LOOKUP($A$1,'Lang Drops'!$A$3:$A$8,'Lang Drops'!U52:U57)</f>
        <v>sloop</v>
      </c>
      <c r="V50" s="190" t="str">
        <f>LOOKUP($A$1,'Lang Drops'!$A$3:$A$8,'Lang Drops'!V52:V57)</f>
        <v>yawl</v>
      </c>
      <c r="W50" s="190" t="str">
        <f>LOOKUP($A$1,'Lang Drops'!$A$3:$A$8,'Lang Drops'!W52:W57)</f>
        <v>ketch</v>
      </c>
      <c r="X50" s="190" t="str">
        <f>LOOKUP($A$1,'Lang Drops'!$A$3:$A$8,'Lang Drops'!X52:X57)</f>
        <v>cutter</v>
      </c>
      <c r="Y50" s="190" t="str">
        <f>LOOKUP($A$1,'Lang Drops'!$A$3:$A$8,'Lang Drops'!Y52:Y57)</f>
        <v>cat</v>
      </c>
      <c r="Z50" s="190" t="str">
        <f>LOOKUP($A$1,'Lang Drops'!$A$3:$A$8,'Lang Drops'!Z52:Z57)</f>
        <v>schooner</v>
      </c>
    </row>
    <row r="51" spans="1:26">
      <c r="D51" s="49"/>
    </row>
    <row r="52" spans="1:26">
      <c r="A52" s="61">
        <v>1</v>
      </c>
      <c r="B52" s="61" t="s">
        <v>3288</v>
      </c>
      <c r="D52" s="21" t="s">
        <v>172</v>
      </c>
      <c r="E52" s="21" t="s">
        <v>1511</v>
      </c>
      <c r="F52" s="21" t="s">
        <v>1508</v>
      </c>
      <c r="G52" s="21" t="s">
        <v>1598</v>
      </c>
      <c r="H52" s="401" t="s">
        <v>1748</v>
      </c>
      <c r="I52" s="401" t="s">
        <v>1749</v>
      </c>
      <c r="J52" s="401" t="s">
        <v>1750</v>
      </c>
      <c r="K52" s="401" t="s">
        <v>1751</v>
      </c>
      <c r="L52" s="401" t="s">
        <v>1752</v>
      </c>
      <c r="M52" s="401" t="s">
        <v>1753</v>
      </c>
      <c r="N52" s="401" t="s">
        <v>1597</v>
      </c>
      <c r="O52" s="21"/>
      <c r="P52" s="21"/>
      <c r="Q52" s="21"/>
      <c r="R52" s="21" t="s">
        <v>674</v>
      </c>
      <c r="S52" s="21" t="s">
        <v>677</v>
      </c>
      <c r="T52" s="21" t="s">
        <v>3006</v>
      </c>
      <c r="U52" s="21" t="s">
        <v>3322</v>
      </c>
      <c r="V52" s="21" t="s">
        <v>3324</v>
      </c>
      <c r="W52" s="21" t="s">
        <v>3326</v>
      </c>
      <c r="X52" s="21" t="s">
        <v>3327</v>
      </c>
      <c r="Y52" s="21" t="s">
        <v>3330</v>
      </c>
      <c r="Z52" s="21" t="s">
        <v>3328</v>
      </c>
    </row>
    <row r="53" spans="1:26">
      <c r="A53" s="61">
        <v>2</v>
      </c>
      <c r="B53" s="61" t="s">
        <v>3289</v>
      </c>
      <c r="D53" s="60" t="s">
        <v>3440</v>
      </c>
      <c r="E53" s="60" t="s">
        <v>3441</v>
      </c>
      <c r="F53" s="60" t="s">
        <v>3455</v>
      </c>
      <c r="G53" s="225" t="s">
        <v>3456</v>
      </c>
      <c r="H53" s="402" t="s">
        <v>1754</v>
      </c>
      <c r="I53" s="402" t="s">
        <v>1755</v>
      </c>
      <c r="J53" s="402" t="s">
        <v>1756</v>
      </c>
      <c r="K53" s="402" t="s">
        <v>1757</v>
      </c>
      <c r="L53" s="402" t="s">
        <v>1758</v>
      </c>
      <c r="M53" s="402" t="s">
        <v>1764</v>
      </c>
      <c r="N53" s="402" t="s">
        <v>1597</v>
      </c>
      <c r="O53" s="60"/>
      <c r="P53" s="60"/>
      <c r="Q53" s="60"/>
      <c r="R53" s="60" t="s">
        <v>2564</v>
      </c>
      <c r="S53" s="60" t="s">
        <v>2568</v>
      </c>
      <c r="T53" s="60" t="s">
        <v>3006</v>
      </c>
      <c r="U53" s="60" t="s">
        <v>3322</v>
      </c>
      <c r="V53" s="60" t="s">
        <v>3324</v>
      </c>
      <c r="W53" s="60" t="s">
        <v>3326</v>
      </c>
      <c r="X53" s="60" t="s">
        <v>2567</v>
      </c>
      <c r="Y53" s="60" t="s">
        <v>2566</v>
      </c>
      <c r="Z53" s="60" t="s">
        <v>2565</v>
      </c>
    </row>
    <row r="54" spans="1:26">
      <c r="A54" s="61">
        <v>3</v>
      </c>
      <c r="B54" s="61" t="s">
        <v>3290</v>
      </c>
      <c r="D54" s="217" t="s">
        <v>1580</v>
      </c>
      <c r="E54" s="217" t="s">
        <v>1581</v>
      </c>
      <c r="F54" s="217" t="s">
        <v>1582</v>
      </c>
      <c r="G54" s="217" t="s">
        <v>1583</v>
      </c>
      <c r="H54" s="403" t="s">
        <v>1759</v>
      </c>
      <c r="I54" s="403" t="s">
        <v>1760</v>
      </c>
      <c r="J54" s="403" t="s">
        <v>1761</v>
      </c>
      <c r="K54" s="403" t="s">
        <v>1762</v>
      </c>
      <c r="L54" s="403" t="s">
        <v>1763</v>
      </c>
      <c r="M54" s="403" t="s">
        <v>1765</v>
      </c>
      <c r="N54" s="217" t="s">
        <v>1584</v>
      </c>
      <c r="O54" s="217"/>
      <c r="P54" s="217"/>
      <c r="Q54" s="217"/>
      <c r="R54" s="217" t="s">
        <v>1585</v>
      </c>
      <c r="S54" s="217" t="s">
        <v>1586</v>
      </c>
      <c r="T54" s="217" t="s">
        <v>3006</v>
      </c>
      <c r="U54" s="217" t="s">
        <v>3322</v>
      </c>
      <c r="V54" s="217" t="s">
        <v>3324</v>
      </c>
      <c r="W54" s="217" t="s">
        <v>3326</v>
      </c>
      <c r="X54" s="217" t="s">
        <v>3327</v>
      </c>
      <c r="Y54" s="217" t="s">
        <v>3330</v>
      </c>
      <c r="Z54" s="217" t="s">
        <v>3328</v>
      </c>
    </row>
    <row r="55" spans="1:26">
      <c r="A55" s="61">
        <v>4</v>
      </c>
      <c r="B55" s="61" t="s">
        <v>3291</v>
      </c>
    </row>
    <row r="56" spans="1:26">
      <c r="A56" s="61">
        <v>5</v>
      </c>
      <c r="B56" s="61" t="s">
        <v>3292</v>
      </c>
      <c r="D56" s="238" t="s">
        <v>3195</v>
      </c>
      <c r="E56" s="217" t="s">
        <v>3197</v>
      </c>
      <c r="F56" s="217" t="s">
        <v>3196</v>
      </c>
      <c r="G56" s="217" t="s">
        <v>3456</v>
      </c>
      <c r="H56" s="403" t="s">
        <v>1754</v>
      </c>
      <c r="I56" s="403" t="s">
        <v>1755</v>
      </c>
      <c r="J56" s="403" t="s">
        <v>1756</v>
      </c>
      <c r="K56" s="403" t="s">
        <v>1757</v>
      </c>
      <c r="L56" s="403" t="s">
        <v>1758</v>
      </c>
      <c r="M56" s="403" t="s">
        <v>1764</v>
      </c>
      <c r="N56" s="217" t="s">
        <v>1597</v>
      </c>
      <c r="O56" s="217"/>
      <c r="P56" s="217"/>
      <c r="Q56" s="217"/>
      <c r="R56" s="217" t="s">
        <v>3199</v>
      </c>
      <c r="S56" s="217" t="s">
        <v>3198</v>
      </c>
      <c r="T56" s="217" t="s">
        <v>3006</v>
      </c>
      <c r="U56" s="217" t="s">
        <v>3322</v>
      </c>
      <c r="V56" s="217" t="s">
        <v>3324</v>
      </c>
      <c r="W56" s="217" t="s">
        <v>3326</v>
      </c>
      <c r="X56" s="217" t="s">
        <v>3327</v>
      </c>
      <c r="Y56" s="217" t="s">
        <v>2566</v>
      </c>
      <c r="Z56" s="217" t="s">
        <v>3200</v>
      </c>
    </row>
    <row r="57" spans="1:26">
      <c r="A57" s="61">
        <v>6</v>
      </c>
      <c r="B57" s="61" t="s">
        <v>3204</v>
      </c>
      <c r="D57" s="21" t="s">
        <v>172</v>
      </c>
      <c r="E57" s="21" t="s">
        <v>1511</v>
      </c>
      <c r="F57" s="21" t="s">
        <v>1508</v>
      </c>
      <c r="G57" s="21" t="s">
        <v>1598</v>
      </c>
      <c r="H57" s="401" t="s">
        <v>1748</v>
      </c>
      <c r="I57" s="401" t="s">
        <v>1749</v>
      </c>
      <c r="J57" s="401" t="s">
        <v>1750</v>
      </c>
      <c r="K57" s="401" t="s">
        <v>1751</v>
      </c>
      <c r="L57" s="401" t="s">
        <v>1752</v>
      </c>
      <c r="M57" s="401" t="s">
        <v>1753</v>
      </c>
      <c r="N57" s="21" t="s">
        <v>1597</v>
      </c>
      <c r="O57" s="21"/>
      <c r="P57" s="21"/>
      <c r="Q57" s="21"/>
      <c r="R57" s="21" t="s">
        <v>674</v>
      </c>
      <c r="S57" s="21" t="s">
        <v>677</v>
      </c>
      <c r="T57" s="21" t="s">
        <v>3006</v>
      </c>
      <c r="U57" s="21" t="s">
        <v>3322</v>
      </c>
      <c r="V57" s="21" t="s">
        <v>3324</v>
      </c>
      <c r="W57" s="21" t="s">
        <v>3326</v>
      </c>
      <c r="X57" s="21" t="s">
        <v>3327</v>
      </c>
      <c r="Y57" s="21" t="s">
        <v>3330</v>
      </c>
      <c r="Z57" s="21" t="s">
        <v>3328</v>
      </c>
    </row>
    <row r="58" spans="1:26">
      <c r="D58" s="238"/>
      <c r="E58" s="217"/>
      <c r="F58" s="217"/>
      <c r="G58" s="217"/>
      <c r="H58" s="217"/>
      <c r="I58" s="217"/>
      <c r="J58" s="217"/>
      <c r="K58" s="217"/>
      <c r="L58" s="217"/>
      <c r="M58" s="217"/>
      <c r="N58" s="217"/>
      <c r="O58" s="217"/>
      <c r="P58" s="217"/>
      <c r="Q58" s="217"/>
      <c r="R58" s="217"/>
      <c r="S58" s="217"/>
      <c r="T58" s="217"/>
      <c r="U58" s="217"/>
    </row>
    <row r="60" spans="1:26" s="190" customFormat="1">
      <c r="A60" s="190">
        <f>Application!H462</f>
        <v>0</v>
      </c>
      <c r="B60" s="190" t="s">
        <v>3287</v>
      </c>
      <c r="D60" s="190" t="str">
        <f>LOOKUP($A$1,'Lang Drops'!$A$3:$A$8,'Lang Drops'!D62:D67)</f>
        <v>carbon</v>
      </c>
      <c r="E60" s="190" t="str">
        <f>LOOKUP($A$1,'Lang Drops'!$A$3:$A$8,'Lang Drops'!E62:E67)</f>
        <v>GRP</v>
      </c>
      <c r="F60" s="190" t="str">
        <f>LOOKUP($A$1,'Lang Drops'!$A$3:$A$8,'Lang Drops'!F62:F67)</f>
        <v>hollow steel with or without comp. fairings</v>
      </c>
      <c r="G60" s="190" t="str">
        <f>LOOKUP($A$1,'Lang Drops'!$A$3:$A$8,'Lang Drops'!G62:G67)</f>
        <v>solid steel + composite fairings</v>
      </c>
      <c r="H60" s="190" t="str">
        <f>LOOKUP($A$1,'Lang Drops'!$A$3:$A$8,'Lang Drops'!H62:H67)</f>
        <v>lead + composite fairings</v>
      </c>
      <c r="I60" s="190" t="str">
        <f>LOOKUP($A$1,'Lang Drops'!$A$3:$A$8,'Lang Drops'!I62:I67)</f>
        <v>cast iron + composite fairings</v>
      </c>
      <c r="J60" s="190" t="str">
        <f>LOOKUP($A$1,'Lang Drops'!$A$3:$A$8,'Lang Drops'!J62:J67)</f>
        <v>cast iron + lead + composite fairings</v>
      </c>
      <c r="K60" s="190" t="str">
        <f>LOOKUP($A$1,'Lang Drops'!$A$3:$A$8,'Lang Drops'!K62:K67)</f>
        <v>solid steel (surface fairing only)</v>
      </c>
      <c r="L60" s="190" t="str">
        <f>LOOKUP($A$1,'Lang Drops'!$A$3:$A$8,'Lang Drops'!L62:L67)</f>
        <v>lead (surface fairing only)</v>
      </c>
      <c r="M60" s="190" t="str">
        <f>LOOKUP($A$1,'Lang Drops'!$A$3:$A$8,'Lang Drops'!M62:M67)</f>
        <v>cast iron (surface fairing only)</v>
      </c>
      <c r="N60" s="190" t="str">
        <f>LOOKUP($A$1,'Lang Drops'!$A$3:$A$8,'Lang Drops'!N62:N67)</f>
        <v>lead + cast iron (surface fairing only)</v>
      </c>
      <c r="O60" s="190" t="str">
        <f>LOOKUP($A$1,'Lang Drops'!$A$3:$A$8,'Lang Drops'!O62:O67)</f>
        <v>bronze</v>
      </c>
      <c r="P60" s="190" t="str">
        <f>LOOKUP($A$1,'Lang Drops'!$A$3:$A$8,'Lang Drops'!P62:P67)</f>
        <v>aluminium/alloy</v>
      </c>
      <c r="Q60" s="190" t="str">
        <f>LOOKUP($A$1,'Lang Drops'!$A$3:$A$8,'Lang Drops'!Q62:Q67)</f>
        <v>other (please specify)</v>
      </c>
    </row>
    <row r="61" spans="1:26">
      <c r="D61" s="49"/>
    </row>
    <row r="62" spans="1:26">
      <c r="A62" s="61">
        <v>1</v>
      </c>
      <c r="B62" s="61" t="s">
        <v>3288</v>
      </c>
      <c r="D62" s="21" t="s">
        <v>3740</v>
      </c>
      <c r="E62" s="21" t="s">
        <v>2334</v>
      </c>
      <c r="F62" s="21" t="s">
        <v>3937</v>
      </c>
      <c r="G62" s="21" t="s">
        <v>2335</v>
      </c>
      <c r="H62" s="21" t="s">
        <v>4054</v>
      </c>
      <c r="I62" s="21" t="s">
        <v>2522</v>
      </c>
      <c r="J62" s="21" t="s">
        <v>2523</v>
      </c>
      <c r="K62" s="21" t="s">
        <v>4055</v>
      </c>
      <c r="L62" s="21" t="s">
        <v>4056</v>
      </c>
      <c r="M62" s="21" t="s">
        <v>3874</v>
      </c>
      <c r="N62" s="21" t="s">
        <v>3875</v>
      </c>
      <c r="O62" s="21" t="s">
        <v>3332</v>
      </c>
      <c r="P62" s="21" t="s">
        <v>401</v>
      </c>
      <c r="Q62" s="21" t="s">
        <v>3252</v>
      </c>
    </row>
    <row r="63" spans="1:26">
      <c r="A63" s="61">
        <v>2</v>
      </c>
      <c r="B63" s="61" t="s">
        <v>3289</v>
      </c>
      <c r="D63" s="60" t="s">
        <v>3437</v>
      </c>
      <c r="E63" s="60" t="s">
        <v>6</v>
      </c>
      <c r="F63" s="60" t="s">
        <v>658</v>
      </c>
      <c r="G63" s="225" t="s">
        <v>657</v>
      </c>
      <c r="H63" s="60" t="s">
        <v>655</v>
      </c>
      <c r="I63" s="60" t="s">
        <v>656</v>
      </c>
      <c r="J63" s="60" t="s">
        <v>654</v>
      </c>
      <c r="K63" s="60" t="s">
        <v>659</v>
      </c>
      <c r="L63" s="60" t="s">
        <v>660</v>
      </c>
      <c r="M63" s="60" t="s">
        <v>661</v>
      </c>
      <c r="N63" s="60" t="s">
        <v>662</v>
      </c>
      <c r="O63" s="60" t="s">
        <v>3332</v>
      </c>
      <c r="P63" s="60" t="s">
        <v>3904</v>
      </c>
      <c r="Q63" s="60" t="s">
        <v>1964</v>
      </c>
    </row>
    <row r="64" spans="1:26">
      <c r="A64" s="61">
        <v>3</v>
      </c>
      <c r="B64" s="61" t="s">
        <v>3290</v>
      </c>
      <c r="D64" s="217" t="s">
        <v>1577</v>
      </c>
      <c r="E64" s="217" t="s">
        <v>1970</v>
      </c>
      <c r="F64" s="217" t="s">
        <v>1971</v>
      </c>
      <c r="G64" s="217" t="s">
        <v>1972</v>
      </c>
      <c r="H64" s="217" t="s">
        <v>1973</v>
      </c>
      <c r="I64" s="217" t="s">
        <v>1974</v>
      </c>
      <c r="J64" s="217" t="s">
        <v>1975</v>
      </c>
      <c r="K64" s="217" t="s">
        <v>1976</v>
      </c>
      <c r="L64" s="217" t="s">
        <v>1977</v>
      </c>
      <c r="M64" s="217" t="s">
        <v>1978</v>
      </c>
      <c r="N64" s="217" t="s">
        <v>1979</v>
      </c>
      <c r="O64" s="217" t="s">
        <v>1980</v>
      </c>
      <c r="P64" s="217" t="s">
        <v>1981</v>
      </c>
      <c r="Q64" s="217" t="s">
        <v>3582</v>
      </c>
    </row>
    <row r="65" spans="1:17">
      <c r="A65" s="61">
        <v>4</v>
      </c>
      <c r="B65" s="61" t="s">
        <v>3291</v>
      </c>
    </row>
    <row r="66" spans="1:17">
      <c r="A66" s="61">
        <v>5</v>
      </c>
      <c r="B66" s="61" t="s">
        <v>3292</v>
      </c>
      <c r="D66" s="238" t="s">
        <v>3192</v>
      </c>
      <c r="E66" s="217" t="s">
        <v>2923</v>
      </c>
      <c r="F66" s="217" t="s">
        <v>668</v>
      </c>
      <c r="G66" s="217" t="s">
        <v>669</v>
      </c>
      <c r="H66" s="217" t="s">
        <v>670</v>
      </c>
      <c r="I66" s="217" t="s">
        <v>3202</v>
      </c>
      <c r="J66" s="217" t="s">
        <v>671</v>
      </c>
      <c r="K66" s="217" t="s">
        <v>3241</v>
      </c>
      <c r="L66" s="217" t="s">
        <v>1520</v>
      </c>
      <c r="M66" s="217" t="s">
        <v>1521</v>
      </c>
      <c r="N66" s="217" t="s">
        <v>1522</v>
      </c>
      <c r="O66" s="217" t="s">
        <v>3201</v>
      </c>
      <c r="P66" s="217" t="s">
        <v>3228</v>
      </c>
      <c r="Q66" s="217" t="s">
        <v>3184</v>
      </c>
    </row>
    <row r="67" spans="1:17">
      <c r="A67" s="61">
        <v>6</v>
      </c>
      <c r="B67" s="61" t="s">
        <v>3204</v>
      </c>
      <c r="D67" s="21" t="s">
        <v>3740</v>
      </c>
      <c r="E67" s="21" t="s">
        <v>2334</v>
      </c>
      <c r="F67" s="21" t="s">
        <v>3937</v>
      </c>
      <c r="G67" s="21" t="s">
        <v>2335</v>
      </c>
      <c r="H67" s="21" t="s">
        <v>4054</v>
      </c>
      <c r="I67" s="21" t="s">
        <v>2522</v>
      </c>
      <c r="J67" s="21" t="s">
        <v>2523</v>
      </c>
      <c r="K67" s="21" t="s">
        <v>4055</v>
      </c>
      <c r="L67" s="21" t="s">
        <v>4056</v>
      </c>
      <c r="M67" s="21" t="s">
        <v>3874</v>
      </c>
      <c r="N67" s="21" t="s">
        <v>3875</v>
      </c>
      <c r="O67" s="21" t="s">
        <v>3332</v>
      </c>
      <c r="P67" s="21" t="s">
        <v>401</v>
      </c>
      <c r="Q67" s="21" t="s">
        <v>3252</v>
      </c>
    </row>
    <row r="68" spans="1:17">
      <c r="D68" s="238"/>
      <c r="E68" s="217"/>
      <c r="F68" s="217"/>
      <c r="G68" s="217"/>
      <c r="H68" s="217"/>
      <c r="I68" s="217"/>
      <c r="J68" s="217"/>
      <c r="K68" s="217"/>
      <c r="L68" s="217"/>
      <c r="M68" s="217"/>
      <c r="N68" s="217"/>
      <c r="O68" s="217"/>
      <c r="P68" s="217"/>
      <c r="Q68" s="217"/>
    </row>
    <row r="70" spans="1:17" s="190" customFormat="1">
      <c r="A70" s="190">
        <f>Application!H470</f>
        <v>0</v>
      </c>
      <c r="B70" s="190" t="s">
        <v>3287</v>
      </c>
      <c r="D70" s="190" t="str">
        <f>LOOKUP($A$1,'Lang Drops'!$A$3:$A$8,'Lang Drops'!D72:D77)</f>
        <v>cast iron</v>
      </c>
      <c r="E70" s="190" t="str">
        <f>LOOKUP($A$1,'Lang Drops'!$A$3:$A$8,'Lang Drops'!E72:E77)</f>
        <v>lead</v>
      </c>
      <c r="F70" s="190" t="str">
        <f>LOOKUP($A$1,'Lang Drops'!$A$3:$A$8,'Lang Drops'!F72:F77)</f>
        <v>other (please specify)</v>
      </c>
      <c r="G70" s="190" t="str">
        <f>LOOKUP($A$1,'Lang Drops'!$A$3:$A$8,'Lang Drops'!G72:G77)</f>
        <v>n/a (no bulb)</v>
      </c>
      <c r="H70" s="190" t="str">
        <f>LOOKUP($A$1,'Lang Drops'!$A$3:$A$8,'Lang Drops'!H72:H77)</f>
        <v>Traditional (solid wood, plywood, uncored GRP laminate, etc)</v>
      </c>
      <c r="I70" s="190" t="str">
        <f>LOOKUP($A$1,'Lang Drops'!$A$3:$A$8,'Lang Drops'!I72:I77)</f>
        <v>Light (thin and/or foam cored veneered and/or GRP laminate panels, etc)</v>
      </c>
      <c r="J70" s="190" t="str">
        <f>LOOKUP($A$1,'Lang Drops'!$A$3:$A$8,'Lang Drops'!J72:J77)</f>
        <v>Racing (carbon, nomex and other hi-tech materials)</v>
      </c>
    </row>
    <row r="71" spans="1:17">
      <c r="D71" s="49"/>
    </row>
    <row r="72" spans="1:17">
      <c r="A72" s="61">
        <v>1</v>
      </c>
      <c r="B72" s="61" t="s">
        <v>3288</v>
      </c>
      <c r="D72" s="21" t="s">
        <v>3420</v>
      </c>
      <c r="E72" s="21" t="s">
        <v>3331</v>
      </c>
      <c r="F72" s="21" t="s">
        <v>3252</v>
      </c>
      <c r="G72" s="21" t="s">
        <v>3336</v>
      </c>
      <c r="H72" s="21" t="s">
        <v>1600</v>
      </c>
      <c r="I72" s="21" t="s">
        <v>1601</v>
      </c>
      <c r="J72" s="21" t="s">
        <v>1602</v>
      </c>
    </row>
    <row r="73" spans="1:17">
      <c r="A73" s="61">
        <v>2</v>
      </c>
      <c r="B73" s="61" t="s">
        <v>3289</v>
      </c>
      <c r="D73" s="60" t="s">
        <v>2570</v>
      </c>
      <c r="E73" s="60" t="s">
        <v>2569</v>
      </c>
      <c r="F73" s="60" t="s">
        <v>1964</v>
      </c>
      <c r="G73" s="225" t="s">
        <v>663</v>
      </c>
      <c r="H73" s="60" t="s">
        <v>666</v>
      </c>
      <c r="I73" s="60" t="s">
        <v>667</v>
      </c>
      <c r="J73" s="60" t="s">
        <v>3705</v>
      </c>
      <c r="K73" s="60"/>
    </row>
    <row r="74" spans="1:17">
      <c r="A74" s="61">
        <v>3</v>
      </c>
      <c r="B74" s="61" t="s">
        <v>3290</v>
      </c>
      <c r="D74" s="217" t="s">
        <v>1982</v>
      </c>
      <c r="E74" s="217" t="s">
        <v>1983</v>
      </c>
      <c r="F74" s="217" t="s">
        <v>3582</v>
      </c>
      <c r="G74" s="217" t="s">
        <v>1984</v>
      </c>
      <c r="H74" s="217" t="s">
        <v>1985</v>
      </c>
      <c r="I74" s="217" t="s">
        <v>127</v>
      </c>
      <c r="J74" s="217" t="s">
        <v>128</v>
      </c>
    </row>
    <row r="75" spans="1:17">
      <c r="A75" s="61">
        <v>4</v>
      </c>
      <c r="B75" s="61" t="s">
        <v>3291</v>
      </c>
    </row>
    <row r="76" spans="1:17">
      <c r="A76" s="61">
        <v>5</v>
      </c>
      <c r="B76" s="61" t="s">
        <v>3292</v>
      </c>
      <c r="D76" s="238" t="s">
        <v>1523</v>
      </c>
      <c r="E76" s="217" t="s">
        <v>1524</v>
      </c>
      <c r="F76" s="217" t="s">
        <v>3184</v>
      </c>
      <c r="G76" s="217" t="s">
        <v>3237</v>
      </c>
      <c r="H76" s="217" t="s">
        <v>3238</v>
      </c>
      <c r="I76" s="217" t="s">
        <v>3239</v>
      </c>
      <c r="J76" s="217" t="s">
        <v>3240</v>
      </c>
    </row>
    <row r="77" spans="1:17">
      <c r="A77" s="61">
        <v>6</v>
      </c>
      <c r="B77" s="61" t="s">
        <v>3204</v>
      </c>
      <c r="D77" s="21" t="s">
        <v>3420</v>
      </c>
      <c r="E77" s="21" t="s">
        <v>3331</v>
      </c>
      <c r="F77" s="21" t="s">
        <v>3252</v>
      </c>
      <c r="G77" s="21" t="s">
        <v>3336</v>
      </c>
      <c r="H77" s="21" t="s">
        <v>1600</v>
      </c>
      <c r="I77" s="21" t="s">
        <v>1601</v>
      </c>
      <c r="J77" s="21" t="s">
        <v>1602</v>
      </c>
    </row>
    <row r="78" spans="1:17">
      <c r="D78" s="238"/>
      <c r="E78" s="217"/>
      <c r="F78" s="217"/>
      <c r="G78" s="217"/>
      <c r="H78" s="217"/>
      <c r="I78" s="217"/>
      <c r="J78" s="217"/>
    </row>
    <row r="80" spans="1:17" s="190" customFormat="1">
      <c r="A80" s="190">
        <f>Application!H478</f>
        <v>0</v>
      </c>
      <c r="B80" s="190" t="s">
        <v>3287</v>
      </c>
      <c r="D80" s="190" t="str">
        <f>LOOKUP($A$1,'Lang Drops'!$A$3:$A$8,'Lang Drops'!D82:D87)</f>
        <v>1 Traditional, attached rudder</v>
      </c>
      <c r="E80" s="190" t="str">
        <f>LOOKUP($A$1,'Lang Drops'!$A$3:$A$8,'Lang Drops'!E82:E87)</f>
        <v>2 Long keel with separate rudder</v>
      </c>
      <c r="F80" s="190" t="str">
        <f>LOOKUP($A$1,'Lang Drops'!$A$3:$A$8,'Lang Drops'!F82:F87)</f>
        <v>3 mickey mouse</v>
      </c>
      <c r="G80" s="190" t="str">
        <f>LOOKUP($A$1,'Lang Drops'!$A$3:$A$8,'Lang Drops'!G82:G87)</f>
        <v>4 tapered fin</v>
      </c>
      <c r="H80" s="190" t="str">
        <f>LOOKUP($A$1,'Lang Drops'!$A$3:$A$8,'Lang Drops'!H82:H87)</f>
        <v>5 straight fin</v>
      </c>
      <c r="I80" s="190" t="str">
        <f>LOOKUP($A$1,'Lang Drops'!$A$3:$A$8,'Lang Drops'!I82:I87)</f>
        <v>6 straight deep fin</v>
      </c>
      <c r="J80" s="190" t="str">
        <f>LOOKUP($A$1,'Lang Drops'!$A$3:$A$8,'Lang Drops'!J82:J87)</f>
        <v>7 flare low cg</v>
      </c>
      <c r="K80" s="190" t="str">
        <f>LOOKUP($A$1,'Lang Drops'!$A$3:$A$8,'Lang Drops'!K82:K87)</f>
        <v>8 flare low cg, deep fin</v>
      </c>
      <c r="L80" s="190" t="str">
        <f>LOOKUP($A$1,'Lang Drops'!$A$3:$A$8,'Lang Drops'!L82:L87)</f>
        <v>9 'L' bulb/low cg</v>
      </c>
      <c r="M80" s="190" t="str">
        <f>LOOKUP($A$1,'Lang Drops'!$A$3:$A$8,'Lang Drops'!M82:M87)</f>
        <v>10 'T' bulb</v>
      </c>
      <c r="N80" s="190" t="str">
        <f>LOOKUP($A$1,'Lang Drops'!$A$3:$A$8,'Lang Drops'!N82:N87)</f>
        <v>11 'L' bulb, deep fin</v>
      </c>
      <c r="O80" s="190" t="str">
        <f>LOOKUP($A$1,'Lang Drops'!$A$3:$A$8,'Lang Drops'!O82:O87)</f>
        <v>12 deep bulb + winglets</v>
      </c>
      <c r="P80" s="190" t="str">
        <f>LOOKUP($A$1,'Lang Drops'!$A$3:$A$8,'Lang Drops'!P82:P87)</f>
        <v>13 wing</v>
      </c>
      <c r="Q80" s="190" t="str">
        <f>LOOKUP($A$1,'Lang Drops'!$A$3:$A$8,'Lang Drops'!Q82:Q87)</f>
        <v>14 Other (supply pictures)</v>
      </c>
    </row>
    <row r="81" spans="1:17">
      <c r="D81" s="49"/>
    </row>
    <row r="82" spans="1:17">
      <c r="A82" s="61">
        <v>1</v>
      </c>
      <c r="B82" s="61" t="s">
        <v>3288</v>
      </c>
      <c r="D82" s="82" t="s">
        <v>651</v>
      </c>
      <c r="E82" s="82" t="s">
        <v>652</v>
      </c>
      <c r="F82" s="82" t="s">
        <v>650</v>
      </c>
      <c r="G82" s="82" t="s">
        <v>649</v>
      </c>
      <c r="H82" s="82" t="s">
        <v>653</v>
      </c>
      <c r="I82" s="82" t="s">
        <v>1525</v>
      </c>
      <c r="J82" s="82" t="s">
        <v>1526</v>
      </c>
      <c r="K82" s="82" t="s">
        <v>1527</v>
      </c>
      <c r="L82" s="82" t="s">
        <v>1528</v>
      </c>
      <c r="M82" s="82" t="s">
        <v>3843</v>
      </c>
      <c r="N82" s="21" t="s">
        <v>1529</v>
      </c>
      <c r="O82" s="82" t="s">
        <v>2331</v>
      </c>
      <c r="P82" s="82" t="s">
        <v>2332</v>
      </c>
      <c r="Q82" s="21" t="s">
        <v>2312</v>
      </c>
    </row>
    <row r="83" spans="1:17">
      <c r="A83" s="61">
        <v>2</v>
      </c>
      <c r="B83" s="61" t="s">
        <v>3289</v>
      </c>
      <c r="D83" s="60" t="s">
        <v>2539</v>
      </c>
      <c r="E83" s="60" t="s">
        <v>2540</v>
      </c>
      <c r="F83" s="60" t="s">
        <v>2541</v>
      </c>
      <c r="G83" s="225" t="s">
        <v>2542</v>
      </c>
      <c r="H83" s="60" t="s">
        <v>2543</v>
      </c>
      <c r="I83" s="60" t="s">
        <v>2544</v>
      </c>
      <c r="J83" s="60" t="s">
        <v>2545</v>
      </c>
      <c r="K83" s="60" t="s">
        <v>2546</v>
      </c>
      <c r="L83" s="60" t="s">
        <v>114</v>
      </c>
      <c r="M83" s="60" t="s">
        <v>1136</v>
      </c>
      <c r="N83" s="60" t="s">
        <v>2148</v>
      </c>
      <c r="O83" s="60" t="s">
        <v>3792</v>
      </c>
      <c r="P83" s="60" t="s">
        <v>3793</v>
      </c>
      <c r="Q83" s="60" t="s">
        <v>3794</v>
      </c>
    </row>
    <row r="84" spans="1:17">
      <c r="A84" s="61">
        <v>3</v>
      </c>
      <c r="B84" s="61" t="s">
        <v>3290</v>
      </c>
      <c r="D84" s="217" t="s">
        <v>129</v>
      </c>
      <c r="E84" s="217" t="s">
        <v>130</v>
      </c>
      <c r="F84" s="217" t="s">
        <v>131</v>
      </c>
      <c r="G84" s="217" t="s">
        <v>132</v>
      </c>
      <c r="H84" s="217" t="s">
        <v>133</v>
      </c>
      <c r="I84" s="217" t="s">
        <v>134</v>
      </c>
      <c r="J84" s="217" t="s">
        <v>135</v>
      </c>
      <c r="K84" s="217" t="s">
        <v>136</v>
      </c>
      <c r="L84" s="217" t="s">
        <v>137</v>
      </c>
      <c r="M84" s="217" t="s">
        <v>1137</v>
      </c>
      <c r="N84" s="217" t="s">
        <v>1767</v>
      </c>
      <c r="O84" s="217" t="s">
        <v>1768</v>
      </c>
      <c r="P84" s="217" t="s">
        <v>1769</v>
      </c>
      <c r="Q84" s="217" t="s">
        <v>1770</v>
      </c>
    </row>
    <row r="85" spans="1:17">
      <c r="A85" s="61">
        <v>4</v>
      </c>
      <c r="B85" s="61" t="s">
        <v>3291</v>
      </c>
    </row>
    <row r="86" spans="1:17">
      <c r="A86" s="61">
        <v>5</v>
      </c>
      <c r="B86" s="61" t="s">
        <v>3292</v>
      </c>
      <c r="D86" s="238" t="s">
        <v>3358</v>
      </c>
      <c r="E86" s="217" t="s">
        <v>3359</v>
      </c>
      <c r="F86" s="217" t="s">
        <v>3360</v>
      </c>
      <c r="G86" s="217" t="s">
        <v>3361</v>
      </c>
      <c r="H86" s="217" t="s">
        <v>3362</v>
      </c>
      <c r="I86" s="217" t="s">
        <v>3363</v>
      </c>
      <c r="J86" s="217" t="s">
        <v>3364</v>
      </c>
      <c r="K86" s="217" t="s">
        <v>3365</v>
      </c>
      <c r="L86" s="217" t="s">
        <v>3366</v>
      </c>
      <c r="M86" s="217" t="s">
        <v>1138</v>
      </c>
      <c r="N86" s="217" t="s">
        <v>3367</v>
      </c>
      <c r="O86" s="217" t="s">
        <v>115</v>
      </c>
      <c r="P86" s="217" t="s">
        <v>116</v>
      </c>
      <c r="Q86" s="217" t="s">
        <v>117</v>
      </c>
    </row>
    <row r="87" spans="1:17">
      <c r="A87" s="61">
        <v>6</v>
      </c>
      <c r="B87" s="61" t="s">
        <v>3204</v>
      </c>
      <c r="D87" s="82" t="s">
        <v>651</v>
      </c>
      <c r="E87" s="82" t="s">
        <v>652</v>
      </c>
      <c r="F87" s="82" t="s">
        <v>650</v>
      </c>
      <c r="G87" s="82" t="s">
        <v>649</v>
      </c>
      <c r="H87" s="82" t="s">
        <v>653</v>
      </c>
      <c r="I87" s="82" t="s">
        <v>1525</v>
      </c>
      <c r="J87" s="82" t="s">
        <v>1526</v>
      </c>
      <c r="K87" s="82" t="s">
        <v>1527</v>
      </c>
      <c r="L87" s="82" t="s">
        <v>1528</v>
      </c>
      <c r="M87" s="82" t="s">
        <v>3843</v>
      </c>
      <c r="N87" s="21" t="s">
        <v>1529</v>
      </c>
      <c r="O87" s="82" t="s">
        <v>2331</v>
      </c>
      <c r="P87" s="82" t="s">
        <v>2332</v>
      </c>
      <c r="Q87" s="21" t="s">
        <v>2312</v>
      </c>
    </row>
    <row r="88" spans="1:17">
      <c r="D88" s="238"/>
      <c r="E88" s="217"/>
      <c r="F88" s="217"/>
      <c r="G88" s="217"/>
      <c r="H88" s="217"/>
      <c r="I88" s="217"/>
      <c r="J88" s="217"/>
      <c r="K88" s="217"/>
      <c r="L88" s="217"/>
      <c r="M88" s="217"/>
      <c r="N88" s="217"/>
      <c r="O88" s="217"/>
      <c r="P88" s="217"/>
      <c r="Q88" s="217"/>
    </row>
    <row r="90" spans="1:17" s="190" customFormat="1">
      <c r="A90" s="190">
        <f>Application!H488</f>
        <v>0</v>
      </c>
      <c r="B90" s="190" t="s">
        <v>3287</v>
      </c>
      <c r="D90" s="190" t="str">
        <f>LOOKUP($A$1,'Lang Drops'!$A$3:$A$8,'Lang Drops'!D92:D97)</f>
        <v>Visa</v>
      </c>
      <c r="E90" s="190" t="str">
        <f>LOOKUP($A$1,'Lang Drops'!$A$3:$A$8,'Lang Drops'!E92:E97)</f>
        <v>MasterCard</v>
      </c>
      <c r="F90" s="190" t="str">
        <f>LOOKUP($A$1,'Lang Drops'!$A$3:$A$8,'Lang Drops'!F92:F97)</f>
        <v>Maestro</v>
      </c>
      <c r="G90" s="190" t="str">
        <f>LOOKUP($A$1,'Lang Drops'!$A$3:$A$8,'Lang Drops'!G92:G97)</f>
        <v>composite (eg. Carbon, PBO)</v>
      </c>
      <c r="H90" s="190" t="str">
        <f>LOOKUP($A$1,'Lang Drops'!$A$3:$A$8,'Lang Drops'!H92:H97)</f>
        <v>rod with composite forestay only</v>
      </c>
      <c r="I90" s="190" t="str">
        <f>LOOKUP($A$1,'Lang Drops'!$A$3:$A$8,'Lang Drops'!I92:I97)</f>
        <v>rod only</v>
      </c>
      <c r="J90" s="190" t="str">
        <f>LOOKUP($A$1,'Lang Drops'!$A$3:$A$8,'Lang Drops'!J92:J97)</f>
        <v>wire</v>
      </c>
      <c r="K90" s="190" t="str">
        <f>LOOKUP($A$1,'Lang Drops'!$A$3:$A$8,'Lang Drops'!K92:K97)</f>
        <v>wire with rod forestay only</v>
      </c>
      <c r="L90" s="190" t="str">
        <f>LOOKUP($A$1,'Lang Drops'!$A$3:$A$8,'Lang Drops'!L92:L97)</f>
        <v>wire with composite forestay only</v>
      </c>
      <c r="M90" s="190" t="str">
        <f>LOOKUP($A$1,'Lang Drops'!$A$3:$A$8,'Lang Drops'!M92:M97)</f>
        <v>other (specify)</v>
      </c>
    </row>
    <row r="91" spans="1:17">
      <c r="D91" s="49"/>
    </row>
    <row r="92" spans="1:17">
      <c r="A92" s="61">
        <v>1</v>
      </c>
      <c r="B92" s="61" t="s">
        <v>3288</v>
      </c>
      <c r="D92" s="21" t="s">
        <v>2324</v>
      </c>
      <c r="E92" s="21" t="s">
        <v>2325</v>
      </c>
      <c r="F92" s="21" t="s">
        <v>2326</v>
      </c>
      <c r="G92" s="65" t="s">
        <v>4029</v>
      </c>
      <c r="H92" s="65" t="s">
        <v>3876</v>
      </c>
      <c r="I92" s="65" t="s">
        <v>4058</v>
      </c>
      <c r="J92" s="65" t="s">
        <v>4059</v>
      </c>
      <c r="K92" s="2" t="s">
        <v>2989</v>
      </c>
      <c r="L92" s="65" t="s">
        <v>2988</v>
      </c>
      <c r="M92" s="65" t="s">
        <v>4060</v>
      </c>
    </row>
    <row r="93" spans="1:17">
      <c r="A93" s="61">
        <v>2</v>
      </c>
      <c r="B93" s="61" t="s">
        <v>3289</v>
      </c>
      <c r="D93" s="60" t="s">
        <v>3763</v>
      </c>
      <c r="E93" s="60" t="s">
        <v>3763</v>
      </c>
      <c r="F93" s="60" t="s">
        <v>3763</v>
      </c>
      <c r="G93" s="225" t="s">
        <v>4030</v>
      </c>
      <c r="H93" s="60" t="s">
        <v>3877</v>
      </c>
      <c r="I93" s="60" t="s">
        <v>3796</v>
      </c>
      <c r="J93" s="60" t="s">
        <v>3795</v>
      </c>
      <c r="K93" s="381" t="s">
        <v>210</v>
      </c>
      <c r="L93" s="381" t="s">
        <v>213</v>
      </c>
      <c r="M93" s="60" t="s">
        <v>2444</v>
      </c>
    </row>
    <row r="94" spans="1:17">
      <c r="A94" s="61">
        <v>3</v>
      </c>
      <c r="B94" s="61" t="s">
        <v>3290</v>
      </c>
      <c r="D94" s="217" t="s">
        <v>1771</v>
      </c>
      <c r="E94" s="217" t="s">
        <v>1771</v>
      </c>
      <c r="F94" s="217" t="s">
        <v>1771</v>
      </c>
      <c r="G94" s="217" t="s">
        <v>4031</v>
      </c>
      <c r="H94" s="217" t="s">
        <v>1772</v>
      </c>
      <c r="I94" s="217" t="s">
        <v>1773</v>
      </c>
      <c r="J94" s="217" t="s">
        <v>1774</v>
      </c>
      <c r="K94" s="381" t="s">
        <v>211</v>
      </c>
      <c r="L94" s="381" t="s">
        <v>214</v>
      </c>
      <c r="M94" s="217" t="s">
        <v>3582</v>
      </c>
    </row>
    <row r="95" spans="1:17">
      <c r="A95" s="61">
        <v>4</v>
      </c>
      <c r="B95" s="61" t="s">
        <v>3291</v>
      </c>
    </row>
    <row r="96" spans="1:17">
      <c r="A96" s="61">
        <v>5</v>
      </c>
      <c r="B96" s="61" t="s">
        <v>3292</v>
      </c>
      <c r="D96" s="238" t="s">
        <v>2812</v>
      </c>
      <c r="E96" s="238" t="s">
        <v>2812</v>
      </c>
      <c r="F96" s="238" t="s">
        <v>2812</v>
      </c>
      <c r="G96" s="217" t="s">
        <v>4032</v>
      </c>
      <c r="H96" s="217" t="s">
        <v>118</v>
      </c>
      <c r="I96" s="217" t="s">
        <v>1512</v>
      </c>
      <c r="J96" s="217" t="s">
        <v>1517</v>
      </c>
      <c r="K96" s="381" t="s">
        <v>212</v>
      </c>
      <c r="L96" s="381" t="s">
        <v>215</v>
      </c>
      <c r="M96" s="217" t="s">
        <v>3184</v>
      </c>
    </row>
    <row r="97" spans="1:13">
      <c r="A97" s="61">
        <v>6</v>
      </c>
      <c r="B97" s="61" t="s">
        <v>3204</v>
      </c>
      <c r="D97" s="21" t="s">
        <v>2324</v>
      </c>
      <c r="E97" s="21" t="s">
        <v>2325</v>
      </c>
      <c r="F97" s="21" t="s">
        <v>2326</v>
      </c>
      <c r="G97" s="380" t="s">
        <v>203</v>
      </c>
      <c r="H97" s="380" t="s">
        <v>204</v>
      </c>
      <c r="I97" s="380" t="s">
        <v>205</v>
      </c>
      <c r="J97" s="380" t="s">
        <v>206</v>
      </c>
      <c r="K97" s="379" t="s">
        <v>201</v>
      </c>
      <c r="L97" s="380" t="s">
        <v>202</v>
      </c>
      <c r="M97" s="380" t="s">
        <v>207</v>
      </c>
    </row>
    <row r="98" spans="1:13">
      <c r="D98" s="238"/>
      <c r="E98" s="238"/>
      <c r="F98" s="238"/>
      <c r="G98" s="217"/>
      <c r="H98" s="217"/>
      <c r="I98" s="217"/>
      <c r="J98" s="217"/>
      <c r="K98" s="217"/>
    </row>
    <row r="99" spans="1:13">
      <c r="D99" s="21"/>
    </row>
    <row r="100" spans="1:13" s="190" customFormat="1">
      <c r="A100" s="190">
        <f>Application!H496</f>
        <v>0</v>
      </c>
      <c r="B100" s="190" t="s">
        <v>3287</v>
      </c>
      <c r="D100" s="190" t="str">
        <f>LOOKUP($A$1,'Lang Drops'!$A$3:$A$8,'Lang Drops'!D102:D107)</f>
        <v>&lt;select from list&gt;</v>
      </c>
      <c r="E100" s="190" t="str">
        <f>LOOKUP($A$1,'Lang Drops'!$A$3:$A$8,'Lang Drops'!E102:E107)</f>
        <v>No</v>
      </c>
      <c r="F100" s="190" t="str">
        <f>LOOKUP($A$1,'Lang Drops'!$A$3:$A$8,'Lang Drops'!F102:F107)</f>
        <v>Yes: Backstay ONLY</v>
      </c>
      <c r="G100" s="190" t="str">
        <f>LOOKUP($A$1,'Lang Drops'!$A$3:$A$8,'Lang Drops'!G102:G107)</f>
        <v>Yes: Running rigging</v>
      </c>
      <c r="H100" s="190" t="str">
        <f>LOOKUP($A$1,'Lang Drops'!$A$3:$A$8,'Lang Drops'!H102:H107)</f>
        <v>&lt;select&gt;</v>
      </c>
      <c r="I100" s="190" t="str">
        <f>LOOKUP($A$1,'Lang Drops'!$A$3:$A$8,'Lang Drops'!I102:I107)</f>
        <v>Yes</v>
      </c>
      <c r="J100" s="190" t="str">
        <f>LOOKUP($A$1,'Lang Drops'!$A$3:$A$8,'Lang Drops'!J102:J107)</f>
        <v>No</v>
      </c>
      <c r="K100" s="190" t="str">
        <f>LOOKUP($A$1,'Lang Drops'!$A$3:$A$8,'Lang Drops'!K102:K107)</f>
        <v>Yes, used while racing</v>
      </c>
      <c r="L100" s="190" t="str">
        <f>LOOKUP($A$1,'Lang Drops'!$A$3:$A$8,'Lang Drops'!L102:L107)</f>
        <v>Yes, but will never be used while racing</v>
      </c>
    </row>
    <row r="102" spans="1:13">
      <c r="A102" s="61">
        <v>1</v>
      </c>
      <c r="B102" s="61" t="s">
        <v>3288</v>
      </c>
      <c r="D102" s="65" t="s">
        <v>4057</v>
      </c>
      <c r="E102" s="74" t="s">
        <v>1046</v>
      </c>
      <c r="F102" s="74" t="s">
        <v>1047</v>
      </c>
      <c r="G102" s="74" t="s">
        <v>3779</v>
      </c>
      <c r="H102" s="65" t="s">
        <v>3726</v>
      </c>
      <c r="I102" s="74" t="s">
        <v>2466</v>
      </c>
      <c r="J102" s="74" t="s">
        <v>1046</v>
      </c>
      <c r="K102" s="74" t="s">
        <v>2861</v>
      </c>
      <c r="L102" s="74" t="s">
        <v>2231</v>
      </c>
    </row>
    <row r="103" spans="1:13">
      <c r="A103" s="61">
        <v>2</v>
      </c>
      <c r="B103" s="61" t="s">
        <v>3289</v>
      </c>
      <c r="D103" s="60" t="s">
        <v>3727</v>
      </c>
      <c r="E103" s="61" t="s">
        <v>1619</v>
      </c>
      <c r="F103" s="221" t="s">
        <v>1621</v>
      </c>
      <c r="G103" s="221" t="s">
        <v>1620</v>
      </c>
      <c r="H103" s="60" t="s">
        <v>3727</v>
      </c>
      <c r="I103" s="61" t="s">
        <v>3725</v>
      </c>
      <c r="J103" s="61" t="s">
        <v>1619</v>
      </c>
      <c r="K103" s="74" t="s">
        <v>2861</v>
      </c>
      <c r="L103" s="74" t="s">
        <v>2231</v>
      </c>
    </row>
    <row r="104" spans="1:13">
      <c r="A104" s="61">
        <v>3</v>
      </c>
      <c r="B104" s="61" t="s">
        <v>3290</v>
      </c>
      <c r="D104" s="217" t="s">
        <v>1775</v>
      </c>
      <c r="E104" s="217" t="s">
        <v>1046</v>
      </c>
      <c r="F104" s="217" t="s">
        <v>1776</v>
      </c>
      <c r="G104" s="217" t="s">
        <v>1777</v>
      </c>
      <c r="H104" s="217" t="s">
        <v>1775</v>
      </c>
      <c r="I104" s="217" t="s">
        <v>1516</v>
      </c>
      <c r="J104" s="217" t="s">
        <v>1778</v>
      </c>
      <c r="K104" s="74" t="s">
        <v>2861</v>
      </c>
      <c r="L104" s="74" t="s">
        <v>2231</v>
      </c>
    </row>
    <row r="105" spans="1:13">
      <c r="A105" s="61">
        <v>4</v>
      </c>
      <c r="B105" s="61" t="s">
        <v>3291</v>
      </c>
      <c r="K105" s="74" t="s">
        <v>2861</v>
      </c>
      <c r="L105" s="74" t="s">
        <v>2231</v>
      </c>
    </row>
    <row r="106" spans="1:13">
      <c r="A106" s="61">
        <v>5</v>
      </c>
      <c r="B106" s="61" t="s">
        <v>3292</v>
      </c>
      <c r="D106" s="217" t="s">
        <v>1513</v>
      </c>
      <c r="E106" s="217" t="s">
        <v>1046</v>
      </c>
      <c r="F106" s="217" t="s">
        <v>1514</v>
      </c>
      <c r="G106" s="217" t="s">
        <v>1515</v>
      </c>
      <c r="H106" s="217" t="s">
        <v>1513</v>
      </c>
      <c r="I106" s="217" t="s">
        <v>1516</v>
      </c>
      <c r="J106" s="217" t="s">
        <v>1046</v>
      </c>
      <c r="K106" s="74" t="s">
        <v>2861</v>
      </c>
      <c r="L106" s="74" t="s">
        <v>2231</v>
      </c>
    </row>
    <row r="107" spans="1:13">
      <c r="A107" s="61">
        <v>6</v>
      </c>
      <c r="B107" s="61" t="s">
        <v>3204</v>
      </c>
      <c r="D107" s="65" t="s">
        <v>4057</v>
      </c>
      <c r="E107" s="74" t="s">
        <v>1046</v>
      </c>
      <c r="F107" s="74" t="s">
        <v>1047</v>
      </c>
      <c r="G107" s="74" t="s">
        <v>3779</v>
      </c>
      <c r="H107" s="65" t="s">
        <v>3726</v>
      </c>
      <c r="I107" s="74" t="s">
        <v>2466</v>
      </c>
      <c r="J107" s="74" t="s">
        <v>1046</v>
      </c>
      <c r="K107" s="413" t="s">
        <v>576</v>
      </c>
      <c r="L107" s="413" t="s">
        <v>577</v>
      </c>
    </row>
    <row r="108" spans="1:13">
      <c r="D108" s="217"/>
      <c r="E108" s="217"/>
      <c r="F108" s="217"/>
      <c r="G108" s="217"/>
      <c r="H108" s="217"/>
      <c r="I108" s="217"/>
      <c r="J108" s="217"/>
    </row>
    <row r="111" spans="1:13" s="190" customFormat="1">
      <c r="A111" s="190">
        <f>Application!H505</f>
        <v>0</v>
      </c>
      <c r="B111" s="190" t="s">
        <v>3287</v>
      </c>
      <c r="D111" s="190" t="str">
        <f>LOOKUP($A$1,'Lang Drops'!$A$3:$A$8,'Lang Drops'!D113:D118)</f>
        <v>&lt;select from list&gt;</v>
      </c>
      <c r="E111" s="190" t="str">
        <f>LOOKUP($A$1,'Lang Drops'!$A$3:$A$8,'Lang Drops'!E113:E118)</f>
        <v>No</v>
      </c>
      <c r="F111" s="190" t="str">
        <f>LOOKUP($A$1,'Lang Drops'!$A$3:$A$8,'Lang Drops'!F113:F118)</f>
        <v>Yes, retractable</v>
      </c>
      <c r="G111" s="190" t="str">
        <f>LOOKUP($A$1,'Lang Drops'!$A$3:$A$8,'Lang Drops'!G113:G118)</f>
        <v>Yes, in an open tunnel</v>
      </c>
      <c r="H111" s="190" t="str">
        <f>LOOKUP($A$1,'Lang Drops'!$A$3:$A$8,'Lang Drops'!H113:H118)</f>
        <v>Bow thruster</v>
      </c>
    </row>
    <row r="113" spans="1:8">
      <c r="A113" s="61">
        <v>1</v>
      </c>
      <c r="B113" s="61" t="s">
        <v>3288</v>
      </c>
      <c r="D113" s="61" t="s">
        <v>4057</v>
      </c>
      <c r="E113" s="61" t="s">
        <v>1046</v>
      </c>
      <c r="F113" s="61" t="s">
        <v>3340</v>
      </c>
      <c r="G113" s="61" t="s">
        <v>3341</v>
      </c>
      <c r="H113" s="61" t="s">
        <v>3344</v>
      </c>
    </row>
    <row r="114" spans="1:8" s="49" customFormat="1">
      <c r="A114" s="49">
        <v>2</v>
      </c>
      <c r="B114" s="49" t="s">
        <v>3289</v>
      </c>
      <c r="D114" s="107" t="s">
        <v>3727</v>
      </c>
      <c r="E114" s="49" t="s">
        <v>1619</v>
      </c>
      <c r="F114" s="178" t="s">
        <v>3342</v>
      </c>
      <c r="G114" s="178" t="s">
        <v>3343</v>
      </c>
      <c r="H114" s="178" t="s">
        <v>3345</v>
      </c>
    </row>
    <row r="115" spans="1:8" s="49" customFormat="1">
      <c r="A115" s="49">
        <v>3</v>
      </c>
      <c r="B115" s="49" t="s">
        <v>3290</v>
      </c>
      <c r="D115" s="49" t="s">
        <v>1119</v>
      </c>
      <c r="E115" s="49" t="s">
        <v>1046</v>
      </c>
      <c r="F115" s="178" t="s">
        <v>1120</v>
      </c>
      <c r="G115" s="178" t="s">
        <v>1121</v>
      </c>
      <c r="H115" s="178" t="s">
        <v>1118</v>
      </c>
    </row>
    <row r="116" spans="1:8" s="49" customFormat="1">
      <c r="A116" s="49">
        <v>4</v>
      </c>
      <c r="B116" s="49" t="s">
        <v>3291</v>
      </c>
    </row>
    <row r="117" spans="1:8" s="49" customFormat="1">
      <c r="A117" s="49">
        <v>5</v>
      </c>
      <c r="B117" s="49" t="s">
        <v>3292</v>
      </c>
      <c r="D117" s="49" t="s">
        <v>4057</v>
      </c>
      <c r="E117" s="49" t="s">
        <v>1046</v>
      </c>
      <c r="F117" s="178" t="s">
        <v>3815</v>
      </c>
      <c r="G117" s="178" t="s">
        <v>3816</v>
      </c>
      <c r="H117" s="178" t="s">
        <v>3814</v>
      </c>
    </row>
    <row r="118" spans="1:8" s="49" customFormat="1">
      <c r="A118" s="49">
        <v>6</v>
      </c>
      <c r="B118" s="49" t="s">
        <v>4310</v>
      </c>
      <c r="D118" s="49" t="s">
        <v>4057</v>
      </c>
      <c r="E118" s="49" t="s">
        <v>1046</v>
      </c>
      <c r="F118" s="49" t="s">
        <v>3340</v>
      </c>
      <c r="G118" s="49" t="s">
        <v>3341</v>
      </c>
      <c r="H118" s="49" t="s">
        <v>3344</v>
      </c>
    </row>
  </sheetData>
  <sheetProtection password="C620" sheet="1"/>
  <phoneticPr fontId="19"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W59"/>
  <sheetViews>
    <sheetView workbookViewId="0">
      <selection activeCell="A2" sqref="A2"/>
    </sheetView>
  </sheetViews>
  <sheetFormatPr defaultRowHeight="12.75"/>
  <cols>
    <col min="1" max="1" width="9.140625" style="48"/>
    <col min="2" max="2" width="20.7109375" style="48" customWidth="1"/>
    <col min="3" max="4" width="9.140625" style="48"/>
    <col min="5" max="5" width="46.5703125" style="106" bestFit="1" customWidth="1"/>
    <col min="6" max="7" width="9.140625" style="48"/>
    <col min="8" max="8" width="19.85546875" style="48" customWidth="1"/>
    <col min="9" max="16384" width="9.140625" style="48"/>
  </cols>
  <sheetData>
    <row r="1" spans="1:49" ht="15.75">
      <c r="A1" s="639" t="s">
        <v>4684</v>
      </c>
      <c r="E1" s="412" t="s">
        <v>574</v>
      </c>
      <c r="F1" s="106" t="str">
        <f t="shared" ref="F1:P1" si="0">IF(F3=0,"",F3)</f>
        <v>Ireland</v>
      </c>
      <c r="G1" s="106" t="str">
        <f t="shared" ca="1" si="0"/>
        <v>Gibraltar</v>
      </c>
      <c r="H1" s="106" t="str">
        <f t="shared" si="0"/>
        <v>USA Unspecified</v>
      </c>
      <c r="I1" s="106" t="str">
        <f t="shared" si="0"/>
        <v>USA, New England</v>
      </c>
      <c r="J1" s="106" t="str">
        <f t="shared" si="0"/>
        <v>USA, Long Island Sound</v>
      </c>
      <c r="K1" s="106" t="str">
        <f t="shared" si="0"/>
        <v>USA, Chesapeake</v>
      </c>
      <c r="L1" s="106" t="str">
        <f t="shared" ca="1" si="0"/>
        <v>USA, SE Coast</v>
      </c>
      <c r="M1" s="106" t="str">
        <f t="shared" si="0"/>
        <v>USA, Gulf of Mexico</v>
      </c>
      <c r="N1" s="106" t="str">
        <f t="shared" si="0"/>
        <v>USA, East Coast misc</v>
      </c>
      <c r="O1" s="106" t="str">
        <f t="shared" si="0"/>
        <v>USA, Great Lakes</v>
      </c>
      <c r="P1" s="106" t="str">
        <f t="shared" si="0"/>
        <v>USA, So Cal</v>
      </c>
      <c r="Q1" s="106" t="str">
        <f t="shared" ref="Q1:AT1" si="1">IF(Q3=0,"",Q3)</f>
        <v>USA, Bay Area</v>
      </c>
      <c r="R1" s="106" t="str">
        <f t="shared" si="1"/>
        <v>USA, Pacific NW</v>
      </c>
      <c r="S1" s="106" t="str">
        <f t="shared" si="1"/>
        <v>USA, West Coast misc</v>
      </c>
      <c r="T1" s="106" t="str">
        <f t="shared" si="1"/>
        <v>USA, Hawaii</v>
      </c>
      <c r="U1" s="106" t="str">
        <f t="shared" si="1"/>
        <v>Caribbean</v>
      </c>
      <c r="V1" s="106" t="str">
        <f t="shared" si="1"/>
        <v>BVIs</v>
      </c>
      <c r="W1" s="106" t="str">
        <f t="shared" si="1"/>
        <v>Bermuda</v>
      </c>
      <c r="X1" s="106" t="str">
        <f t="shared" ca="1" si="1"/>
        <v>Canada</v>
      </c>
      <c r="Y1" s="106" t="str">
        <f t="shared" ca="1" si="1"/>
        <v>Domenican Republic</v>
      </c>
      <c r="Z1" s="106" t="str">
        <f t="shared" ca="1" si="1"/>
        <v>Denmark</v>
      </c>
      <c r="AA1" s="106" t="str">
        <f t="shared" ca="1" si="1"/>
        <v>Finland</v>
      </c>
      <c r="AB1" s="106" t="str">
        <f t="shared" ca="1" si="1"/>
        <v>Germany</v>
      </c>
      <c r="AC1" s="106" t="str">
        <f t="shared" ca="1" si="1"/>
        <v>Netherlands</v>
      </c>
      <c r="AD1" s="106" t="str">
        <f t="shared" ca="1" si="1"/>
        <v>Norway</v>
      </c>
      <c r="AE1" s="106" t="str">
        <f t="shared" ca="1" si="1"/>
        <v>Sweden</v>
      </c>
      <c r="AF1" s="106" t="str">
        <f t="shared" ca="1" si="1"/>
        <v>Iceland</v>
      </c>
      <c r="AG1" s="106" t="str">
        <f t="shared" ca="1" si="1"/>
        <v>Cyprus</v>
      </c>
      <c r="AH1" s="106" t="str">
        <f t="shared" ca="1" si="1"/>
        <v>Israel</v>
      </c>
      <c r="AI1" s="106" t="str">
        <f t="shared" ca="1" si="1"/>
        <v>Malta</v>
      </c>
      <c r="AJ1" s="106" t="str">
        <f t="shared" ca="1" si="1"/>
        <v>Japan</v>
      </c>
      <c r="AK1" s="106" t="str">
        <f t="shared" ca="1" si="1"/>
        <v>Kuwait</v>
      </c>
      <c r="AL1" s="106" t="str">
        <f t="shared" ca="1" si="1"/>
        <v>Korea</v>
      </c>
      <c r="AM1" s="106" t="str">
        <f t="shared" ca="1" si="1"/>
        <v>Vietnam</v>
      </c>
      <c r="AN1" s="106" t="str">
        <f t="shared" ca="1" si="1"/>
        <v>Worldwide</v>
      </c>
      <c r="AO1" s="106" t="str">
        <f t="shared" ca="1" si="1"/>
        <v/>
      </c>
      <c r="AP1" s="106" t="str">
        <f t="shared" ca="1" si="1"/>
        <v/>
      </c>
      <c r="AQ1" s="106" t="str">
        <f t="shared" ca="1" si="1"/>
        <v/>
      </c>
      <c r="AR1" s="106" t="str">
        <f t="shared" ca="1" si="1"/>
        <v/>
      </c>
      <c r="AS1" s="106" t="str">
        <f t="shared" ca="1" si="1"/>
        <v/>
      </c>
      <c r="AT1" s="106" t="str">
        <f t="shared" ca="1" si="1"/>
        <v/>
      </c>
    </row>
    <row r="2" spans="1:49">
      <c r="A2" s="411"/>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row>
    <row r="3" spans="1:49">
      <c r="A3" s="48">
        <f>Application!C355</f>
        <v>3</v>
      </c>
      <c r="B3" s="48" t="s">
        <v>1790</v>
      </c>
      <c r="E3" s="107" t="str">
        <f>LOOKUP($A$3,'Area 2'!$A$4:$A$9,'Area 2'!E4:E9)</f>
        <v>&lt;select from list&gt;</v>
      </c>
      <c r="F3" s="107" t="str">
        <f>LOOKUP($A$3,'Area 2'!$A$4:$A$9,'Area 2'!F4:F9)</f>
        <v>Ireland</v>
      </c>
      <c r="G3" s="107" t="str">
        <f ca="1">LOOKUP($A$3,'Area 2'!$A$4:$A$9,'Area 2'!G4:G8)</f>
        <v>Gibraltar</v>
      </c>
      <c r="H3" s="107" t="str">
        <f>LOOKUP($A$3,'Area 2'!$A$4:$A$9,'Area 2'!H4:H9)</f>
        <v>USA Unspecified</v>
      </c>
      <c r="I3" s="107" t="str">
        <f>LOOKUP($A$3,'Area 2'!$A$4:$A$9,'Area 2'!I4:I9)</f>
        <v>USA, New England</v>
      </c>
      <c r="J3" s="107" t="str">
        <f>LOOKUP($A$3,'Area 2'!$A$4:$A$9,'Area 2'!J4:J9)</f>
        <v>USA, Long Island Sound</v>
      </c>
      <c r="K3" s="107" t="str">
        <f>LOOKUP($A$3,'Area 2'!$A$4:$A$9,'Area 2'!K4:K9)</f>
        <v>USA, Chesapeake</v>
      </c>
      <c r="L3" s="107" t="str">
        <f ca="1">LOOKUP($A$3,'Area 2'!$A$4:$A$9,'Area 2'!L4:L8)</f>
        <v>USA, SE Coast</v>
      </c>
      <c r="M3" s="107" t="str">
        <f>LOOKUP($A$3,'Area 2'!$A$4:$A$9,'Area 2'!M4:M9)</f>
        <v>USA, Gulf of Mexico</v>
      </c>
      <c r="N3" s="107" t="str">
        <f>LOOKUP($A$3,'Area 2'!$A$4:$A$9,'Area 2'!N4:N9)</f>
        <v>USA, East Coast misc</v>
      </c>
      <c r="O3" s="107" t="str">
        <f>LOOKUP($A$3,'Area 2'!$A$4:$A$9,'Area 2'!O4:O9)</f>
        <v>USA, Great Lakes</v>
      </c>
      <c r="P3" s="107" t="str">
        <f>LOOKUP($A$3,'Area 2'!$A$4:$A$9,'Area 2'!P4:P9)</f>
        <v>USA, So Cal</v>
      </c>
      <c r="Q3" s="107" t="str">
        <f>LOOKUP($A$3,'Area 2'!$A$4:$A$9,'Area 2'!Q4:Q9)</f>
        <v>USA, Bay Area</v>
      </c>
      <c r="R3" s="107" t="str">
        <f>LOOKUP($A$3,'Area 2'!$A$4:$A$9,'Area 2'!R4:R9)</f>
        <v>USA, Pacific NW</v>
      </c>
      <c r="S3" s="107" t="str">
        <f>LOOKUP($A$3,'Area 2'!$A$4:$A$9,'Area 2'!S4:S9)</f>
        <v>USA, West Coast misc</v>
      </c>
      <c r="T3" s="107" t="str">
        <f>LOOKUP($A$3,'Area 2'!$A$4:$A$9,'Area 2'!T4:T9)</f>
        <v>USA, Hawaii</v>
      </c>
      <c r="U3" s="107" t="str">
        <f>LOOKUP($A$3,'Area 2'!$A$4:$A$9,'Area 2'!U4:U9)</f>
        <v>Caribbean</v>
      </c>
      <c r="V3" s="107" t="str">
        <f>LOOKUP($A$3,'Area 2'!$A$4:$A$9,'Area 2'!V4:V9)</f>
        <v>BVIs</v>
      </c>
      <c r="W3" s="107" t="str">
        <f>LOOKUP($A$3,'Area 2'!$A$4:$A$9,'Area 2'!W4:W9)</f>
        <v>Bermuda</v>
      </c>
      <c r="X3" s="107" t="str">
        <f ca="1">LOOKUP($A$3,'Area 2'!$A$4:$A$9,'Area 2'!X4:X10)</f>
        <v>Canada</v>
      </c>
      <c r="Y3" s="107" t="str">
        <f ca="1">LOOKUP($A$3,'Area 2'!$A$4:$A$9,'Area 2'!Y4:Y10)</f>
        <v>Domenican Republic</v>
      </c>
      <c r="Z3" s="107" t="str">
        <f ca="1">LOOKUP($A$3,'Area 2'!$A$4:$A$9,'Area 2'!Z4:Z10)</f>
        <v>Denmark</v>
      </c>
      <c r="AA3" s="107" t="str">
        <f ca="1">LOOKUP($A$3,'Area 2'!$A$4:$A$9,'Area 2'!AA4:AA10)</f>
        <v>Finland</v>
      </c>
      <c r="AB3" s="107" t="str">
        <f ca="1">LOOKUP($A$3,'Area 2'!$A$4:$A$9,'Area 2'!AB4:AB10)</f>
        <v>Germany</v>
      </c>
      <c r="AC3" s="107" t="str">
        <f ca="1">LOOKUP($A$3,'Area 2'!$A$4:$A$9,'Area 2'!AC4:AC10)</f>
        <v>Netherlands</v>
      </c>
      <c r="AD3" s="107" t="str">
        <f ca="1">LOOKUP($A$3,'Area 2'!$A$4:$A$9,'Area 2'!AD4:AD10)</f>
        <v>Norway</v>
      </c>
      <c r="AE3" s="107" t="str">
        <f ca="1">LOOKUP($A$3,'Area 2'!$A$4:$A$9,'Area 2'!AE4:AE10)</f>
        <v>Sweden</v>
      </c>
      <c r="AF3" s="107" t="str">
        <f ca="1">LOOKUP($A$3,'Area 2'!$A$4:$A$9,'Area 2'!AF4:AF10)</f>
        <v>Iceland</v>
      </c>
      <c r="AG3" s="107" t="str">
        <f ca="1">LOOKUP($A$3,'Area 2'!$A$4:$A$9,'Area 2'!AG4:AG10)</f>
        <v>Cyprus</v>
      </c>
      <c r="AH3" s="107" t="str">
        <f ca="1">LOOKUP($A$3,'Area 2'!$A$4:$A$9,'Area 2'!AH4:AH10)</f>
        <v>Israel</v>
      </c>
      <c r="AI3" s="107" t="str">
        <f ca="1">LOOKUP($A$3,'Area 2'!$A$4:$A$9,'Area 2'!AI4:AI10)</f>
        <v>Malta</v>
      </c>
      <c r="AJ3" s="107" t="str">
        <f ca="1">LOOKUP($A$3,'Area 2'!$A$4:$A$9,'Area 2'!AJ4:AJ10)</f>
        <v>Japan</v>
      </c>
      <c r="AK3" s="107" t="str">
        <f ca="1">LOOKUP($A$3,'Area 2'!$A$4:$A$9,'Area 2'!AK4:AK10)</f>
        <v>Kuwait</v>
      </c>
      <c r="AL3" s="107" t="str">
        <f ca="1">LOOKUP($A$3,'Area 2'!$A$4:$A$9,'Area 2'!AL4:AL10)</f>
        <v>Korea</v>
      </c>
      <c r="AM3" s="107" t="str">
        <f ca="1">LOOKUP($A$3,'Area 2'!$A$4:$A$9,'Area 2'!AM4:AM10)</f>
        <v>Vietnam</v>
      </c>
      <c r="AN3" s="107" t="str">
        <f ca="1">LOOKUP($A$3,'Area 2'!$A$4:$A$9,'Area 2'!AN4:AN10)</f>
        <v>Worldwide</v>
      </c>
      <c r="AO3" s="107">
        <f ca="1">LOOKUP($A$3,'Area 2'!$A$4:$A$9,'Area 2'!AO4:AO10)</f>
        <v>0</v>
      </c>
      <c r="AP3" s="107">
        <f ca="1">LOOKUP($A$3,'Area 2'!$A$4:$A$9,'Area 2'!AP4:AP10)</f>
        <v>0</v>
      </c>
      <c r="AQ3" s="107">
        <f ca="1">LOOKUP($A$3,'Area 2'!$A$4:$A$9,'Area 2'!AQ4:AQ10)</f>
        <v>0</v>
      </c>
      <c r="AR3" s="107">
        <f ca="1">LOOKUP($A$3,'Area 2'!$A$4:$A$9,'Area 2'!AR4:AR10)</f>
        <v>0</v>
      </c>
      <c r="AS3" s="107">
        <f ca="1">LOOKUP($A$3,'Area 2'!$A$4:$A$9,'Area 2'!AS4:AS10)</f>
        <v>0</v>
      </c>
      <c r="AT3" s="107">
        <f ca="1">LOOKUP($A$3,'Area 2'!$A$4:$A$9,'Area 2'!AT4:AT10)</f>
        <v>0</v>
      </c>
    </row>
    <row r="4" spans="1:49">
      <c r="A4" s="48">
        <v>1</v>
      </c>
      <c r="B4" s="48" t="str">
        <f>B15</f>
        <v>&lt;select from list&gt;</v>
      </c>
      <c r="E4" s="107"/>
    </row>
    <row r="5" spans="1:49">
      <c r="A5" s="48">
        <v>2</v>
      </c>
      <c r="B5" s="48" t="s">
        <v>4077</v>
      </c>
      <c r="E5" s="106" t="s">
        <v>1790</v>
      </c>
      <c r="F5" s="48" t="s">
        <v>3402</v>
      </c>
      <c r="G5" s="48" t="s">
        <v>3408</v>
      </c>
      <c r="H5" s="48" t="s">
        <v>3413</v>
      </c>
      <c r="I5" s="48" t="s">
        <v>155</v>
      </c>
      <c r="J5" s="48" t="s">
        <v>162</v>
      </c>
      <c r="K5" s="48" t="s">
        <v>166</v>
      </c>
      <c r="L5" s="48" t="s">
        <v>234</v>
      </c>
      <c r="M5" s="48" t="s">
        <v>238</v>
      </c>
      <c r="N5" s="48" t="s">
        <v>242</v>
      </c>
      <c r="O5" s="48" t="s">
        <v>246</v>
      </c>
      <c r="P5" s="48" t="s">
        <v>250</v>
      </c>
      <c r="Q5" s="48" t="s">
        <v>255</v>
      </c>
      <c r="R5" s="48" t="s">
        <v>258</v>
      </c>
      <c r="S5" s="48" t="s">
        <v>261</v>
      </c>
      <c r="T5" s="48" t="s">
        <v>4078</v>
      </c>
      <c r="U5" s="48" t="s">
        <v>2235</v>
      </c>
    </row>
    <row r="6" spans="1:49">
      <c r="A6" s="48">
        <v>3</v>
      </c>
      <c r="B6" s="48" t="s">
        <v>4307</v>
      </c>
      <c r="E6" s="15" t="s">
        <v>4057</v>
      </c>
      <c r="F6" s="106" t="s">
        <v>2238</v>
      </c>
      <c r="G6" s="106" t="s">
        <v>2241</v>
      </c>
      <c r="H6" s="106" t="s">
        <v>946</v>
      </c>
      <c r="I6" s="106" t="s">
        <v>1368</v>
      </c>
      <c r="J6" s="106" t="s">
        <v>1369</v>
      </c>
      <c r="K6" s="106" t="s">
        <v>1370</v>
      </c>
      <c r="L6" s="106" t="s">
        <v>1371</v>
      </c>
      <c r="M6" s="106" t="s">
        <v>1372</v>
      </c>
      <c r="N6" s="106" t="s">
        <v>1373</v>
      </c>
      <c r="O6" s="106" t="s">
        <v>1374</v>
      </c>
      <c r="P6" s="106" t="s">
        <v>1375</v>
      </c>
      <c r="Q6" s="106" t="s">
        <v>1376</v>
      </c>
      <c r="R6" s="106" t="s">
        <v>1377</v>
      </c>
      <c r="S6" s="106" t="s">
        <v>1378</v>
      </c>
      <c r="T6" s="106" t="s">
        <v>4000</v>
      </c>
      <c r="U6" s="108" t="s">
        <v>720</v>
      </c>
      <c r="V6" s="106" t="s">
        <v>722</v>
      </c>
      <c r="W6" s="106" t="s">
        <v>2480</v>
      </c>
      <c r="X6" s="106" t="s">
        <v>2481</v>
      </c>
      <c r="Y6" s="106" t="s">
        <v>2482</v>
      </c>
      <c r="Z6" s="106" t="s">
        <v>2483</v>
      </c>
      <c r="AA6" s="106" t="s">
        <v>2484</v>
      </c>
      <c r="AB6" s="106" t="s">
        <v>2485</v>
      </c>
      <c r="AC6" s="106" t="s">
        <v>2486</v>
      </c>
      <c r="AD6" s="106" t="s">
        <v>2487</v>
      </c>
      <c r="AE6" s="106" t="s">
        <v>2488</v>
      </c>
      <c r="AF6" s="106" t="s">
        <v>2489</v>
      </c>
      <c r="AG6" s="106" t="s">
        <v>2490</v>
      </c>
      <c r="AH6" s="106" t="s">
        <v>2491</v>
      </c>
      <c r="AI6" s="106" t="s">
        <v>2492</v>
      </c>
      <c r="AJ6" s="106" t="s">
        <v>2493</v>
      </c>
      <c r="AK6" s="106" t="s">
        <v>2494</v>
      </c>
      <c r="AL6" s="106" t="s">
        <v>2496</v>
      </c>
      <c r="AM6" s="106" t="s">
        <v>2497</v>
      </c>
      <c r="AN6" s="410" t="s">
        <v>4677</v>
      </c>
    </row>
    <row r="7" spans="1:49">
      <c r="A7" s="48">
        <v>4</v>
      </c>
      <c r="B7" s="48" t="s">
        <v>4297</v>
      </c>
      <c r="E7" s="107" t="s">
        <v>3770</v>
      </c>
      <c r="F7" s="106" t="s">
        <v>3403</v>
      </c>
      <c r="G7" s="106" t="s">
        <v>3409</v>
      </c>
      <c r="H7" s="106" t="s">
        <v>3414</v>
      </c>
      <c r="I7" s="106" t="s">
        <v>157</v>
      </c>
      <c r="J7" s="106" t="s">
        <v>163</v>
      </c>
      <c r="K7" s="410" t="s">
        <v>3412</v>
      </c>
      <c r="L7" s="106" t="s">
        <v>231</v>
      </c>
      <c r="M7" s="48" t="s">
        <v>154</v>
      </c>
      <c r="N7" s="48" t="s">
        <v>161</v>
      </c>
      <c r="O7" s="106" t="s">
        <v>235</v>
      </c>
      <c r="P7" s="106" t="s">
        <v>239</v>
      </c>
      <c r="Q7" s="106" t="s">
        <v>243</v>
      </c>
      <c r="R7" s="106" t="s">
        <v>247</v>
      </c>
      <c r="S7" s="106" t="s">
        <v>251</v>
      </c>
      <c r="T7" s="106" t="s">
        <v>256</v>
      </c>
      <c r="U7" s="106" t="s">
        <v>259</v>
      </c>
      <c r="V7" s="106" t="s">
        <v>263</v>
      </c>
      <c r="W7" s="106" t="s">
        <v>266</v>
      </c>
      <c r="X7" s="106" t="s">
        <v>2233</v>
      </c>
      <c r="Y7" s="106" t="s">
        <v>2236</v>
      </c>
      <c r="Z7" s="106" t="s">
        <v>2239</v>
      </c>
      <c r="AA7" s="106" t="s">
        <v>2242</v>
      </c>
      <c r="AB7" s="106" t="s">
        <v>2244</v>
      </c>
      <c r="AC7" s="106" t="s">
        <v>2247</v>
      </c>
      <c r="AD7" s="106" t="s">
        <v>2249</v>
      </c>
      <c r="AE7" s="410" t="s">
        <v>2795</v>
      </c>
      <c r="AF7" s="106" t="s">
        <v>2251</v>
      </c>
      <c r="AG7" s="410" t="s">
        <v>572</v>
      </c>
      <c r="AH7" s="106" t="s">
        <v>3980</v>
      </c>
      <c r="AI7" s="106" t="s">
        <v>3982</v>
      </c>
      <c r="AJ7" s="106" t="s">
        <v>3984</v>
      </c>
      <c r="AK7" s="106" t="s">
        <v>3986</v>
      </c>
      <c r="AL7" s="106" t="s">
        <v>3987</v>
      </c>
      <c r="AM7" s="106" t="s">
        <v>3989</v>
      </c>
      <c r="AN7" s="106" t="s">
        <v>3991</v>
      </c>
      <c r="AO7" s="106" t="s">
        <v>3993</v>
      </c>
      <c r="AP7" s="106" t="s">
        <v>3995</v>
      </c>
      <c r="AQ7" s="106" t="s">
        <v>3997</v>
      </c>
      <c r="AR7" s="106" t="s">
        <v>3999</v>
      </c>
      <c r="AS7" s="106" t="s">
        <v>4001</v>
      </c>
      <c r="AT7" s="106" t="s">
        <v>4003</v>
      </c>
      <c r="AU7" s="106" t="s">
        <v>717</v>
      </c>
      <c r="AV7" s="106" t="s">
        <v>719</v>
      </c>
      <c r="AW7" s="106" t="s">
        <v>721</v>
      </c>
    </row>
    <row r="8" spans="1:49">
      <c r="A8" s="48">
        <v>5</v>
      </c>
      <c r="B8" s="48" t="s">
        <v>4308</v>
      </c>
      <c r="E8" s="106" t="s">
        <v>1790</v>
      </c>
      <c r="F8" s="48" t="s">
        <v>3405</v>
      </c>
      <c r="G8" s="48" t="s">
        <v>3411</v>
      </c>
      <c r="H8" s="48" t="s">
        <v>153</v>
      </c>
      <c r="I8" s="48" t="s">
        <v>160</v>
      </c>
      <c r="J8" s="48" t="s">
        <v>164</v>
      </c>
      <c r="K8" s="48" t="s">
        <v>232</v>
      </c>
      <c r="L8" s="48" t="s">
        <v>236</v>
      </c>
      <c r="M8" s="48" t="s">
        <v>240</v>
      </c>
      <c r="N8" s="48" t="s">
        <v>244</v>
      </c>
      <c r="O8" s="48" t="s">
        <v>248</v>
      </c>
      <c r="P8" s="48" t="s">
        <v>252</v>
      </c>
      <c r="Q8" s="48" t="s">
        <v>257</v>
      </c>
      <c r="R8" s="48" t="s">
        <v>260</v>
      </c>
      <c r="S8" s="48" t="s">
        <v>264</v>
      </c>
      <c r="T8" s="48" t="s">
        <v>267</v>
      </c>
      <c r="U8" s="48" t="s">
        <v>2234</v>
      </c>
      <c r="V8" s="48" t="s">
        <v>2237</v>
      </c>
      <c r="W8" s="48" t="s">
        <v>2240</v>
      </c>
      <c r="X8" s="48" t="s">
        <v>2243</v>
      </c>
      <c r="Y8" s="48" t="s">
        <v>2245</v>
      </c>
      <c r="Z8" s="625" t="s">
        <v>2379</v>
      </c>
    </row>
    <row r="9" spans="1:49">
      <c r="A9" s="48">
        <v>6</v>
      </c>
      <c r="B9" s="48" t="s">
        <v>4298</v>
      </c>
      <c r="E9" s="106" t="s">
        <v>1790</v>
      </c>
      <c r="F9" s="48" t="s">
        <v>3406</v>
      </c>
      <c r="G9" s="624" t="s">
        <v>165</v>
      </c>
      <c r="H9" s="624" t="s">
        <v>237</v>
      </c>
      <c r="I9" s="624" t="s">
        <v>241</v>
      </c>
      <c r="J9" s="48" t="s">
        <v>245</v>
      </c>
      <c r="K9" s="624" t="s">
        <v>4676</v>
      </c>
      <c r="L9" s="624" t="s">
        <v>253</v>
      </c>
      <c r="M9" s="624" t="s">
        <v>2792</v>
      </c>
      <c r="N9" s="624" t="s">
        <v>573</v>
      </c>
    </row>
    <row r="15" spans="1:49">
      <c r="B15" s="48" t="str">
        <f>'Lang Drops'!D1</f>
        <v>&lt;select from list&gt;</v>
      </c>
      <c r="E15" s="48" t="str">
        <f>B15</f>
        <v>&lt;select from list&gt;</v>
      </c>
      <c r="H15" s="48" t="str">
        <f>E15</f>
        <v>&lt;select from list&gt;</v>
      </c>
      <c r="K15" s="106" t="str">
        <f>H15</f>
        <v>&lt;select from list&gt;</v>
      </c>
      <c r="N15" s="48" t="str">
        <f>K15</f>
        <v>&lt;select from list&gt;</v>
      </c>
      <c r="R15" s="48" t="str">
        <f>N15</f>
        <v>&lt;select from list&gt;</v>
      </c>
    </row>
    <row r="16" spans="1:49">
      <c r="B16" s="48" t="s">
        <v>3402</v>
      </c>
      <c r="C16" s="48">
        <v>101</v>
      </c>
      <c r="E16" s="106" t="str">
        <f>F1</f>
        <v>Ireland</v>
      </c>
      <c r="F16" s="109">
        <v>201</v>
      </c>
      <c r="H16" s="48" t="s">
        <v>2238</v>
      </c>
      <c r="I16" s="48">
        <v>118</v>
      </c>
      <c r="K16" s="106" t="s">
        <v>3403</v>
      </c>
      <c r="L16" s="48">
        <v>201</v>
      </c>
      <c r="M16" s="110"/>
      <c r="N16" s="48" t="s">
        <v>3405</v>
      </c>
      <c r="O16" s="48">
        <v>401</v>
      </c>
      <c r="R16" s="48" t="s">
        <v>3406</v>
      </c>
      <c r="S16" s="48">
        <v>501</v>
      </c>
    </row>
    <row r="17" spans="2:19">
      <c r="B17" s="48" t="s">
        <v>3408</v>
      </c>
      <c r="C17" s="48">
        <v>102</v>
      </c>
      <c r="E17" s="106" t="str">
        <f ca="1">G1</f>
        <v>Gibraltar</v>
      </c>
      <c r="F17" s="109">
        <v>202</v>
      </c>
      <c r="H17" s="48" t="s">
        <v>2241</v>
      </c>
      <c r="I17" s="48">
        <v>119</v>
      </c>
      <c r="K17" s="106" t="s">
        <v>3409</v>
      </c>
      <c r="L17" s="48">
        <v>202</v>
      </c>
      <c r="M17" s="111"/>
      <c r="N17" s="48" t="s">
        <v>3411</v>
      </c>
      <c r="O17" s="48">
        <v>402</v>
      </c>
      <c r="R17" s="624" t="s">
        <v>165</v>
      </c>
      <c r="S17" s="48">
        <v>503</v>
      </c>
    </row>
    <row r="18" spans="2:19">
      <c r="B18" s="48" t="s">
        <v>3413</v>
      </c>
      <c r="C18" s="48">
        <v>103</v>
      </c>
      <c r="E18" s="106" t="str">
        <f>H1</f>
        <v>USA Unspecified</v>
      </c>
      <c r="F18" s="109">
        <v>203</v>
      </c>
      <c r="H18" s="48" t="s">
        <v>946</v>
      </c>
      <c r="I18" s="48">
        <v>120</v>
      </c>
      <c r="K18" s="106" t="s">
        <v>3414</v>
      </c>
      <c r="L18" s="48">
        <v>203</v>
      </c>
      <c r="M18" s="112"/>
      <c r="N18" s="48" t="s">
        <v>153</v>
      </c>
      <c r="O18" s="48">
        <v>403</v>
      </c>
      <c r="R18" s="624" t="s">
        <v>237</v>
      </c>
      <c r="S18" s="48">
        <v>505</v>
      </c>
    </row>
    <row r="19" spans="2:19">
      <c r="B19" s="48" t="s">
        <v>155</v>
      </c>
      <c r="C19" s="48">
        <v>104</v>
      </c>
      <c r="E19" s="106" t="str">
        <f>I1</f>
        <v>USA, New England</v>
      </c>
      <c r="F19" s="109">
        <v>204</v>
      </c>
      <c r="H19" s="48" t="s">
        <v>1368</v>
      </c>
      <c r="I19" s="48">
        <v>121</v>
      </c>
      <c r="K19" s="106" t="s">
        <v>157</v>
      </c>
      <c r="L19" s="48">
        <v>204</v>
      </c>
      <c r="M19" s="112"/>
      <c r="N19" s="48" t="s">
        <v>160</v>
      </c>
      <c r="O19" s="48">
        <v>404</v>
      </c>
      <c r="R19" s="624" t="s">
        <v>241</v>
      </c>
      <c r="S19" s="48">
        <v>506</v>
      </c>
    </row>
    <row r="20" spans="2:19">
      <c r="B20" s="48" t="s">
        <v>162</v>
      </c>
      <c r="C20" s="48">
        <v>105</v>
      </c>
      <c r="E20" s="106" t="str">
        <f>J1</f>
        <v>USA, Long Island Sound</v>
      </c>
      <c r="F20" s="109">
        <v>205</v>
      </c>
      <c r="H20" s="48" t="s">
        <v>1369</v>
      </c>
      <c r="I20" s="48">
        <v>122</v>
      </c>
      <c r="K20" s="106" t="s">
        <v>163</v>
      </c>
      <c r="L20" s="48">
        <v>205</v>
      </c>
      <c r="M20" s="112"/>
      <c r="N20" s="48" t="s">
        <v>164</v>
      </c>
      <c r="O20" s="48">
        <v>405</v>
      </c>
      <c r="R20" s="48" t="s">
        <v>245</v>
      </c>
      <c r="S20" s="48">
        <v>507</v>
      </c>
    </row>
    <row r="21" spans="2:19">
      <c r="B21" s="48" t="s">
        <v>166</v>
      </c>
      <c r="C21" s="48">
        <v>106</v>
      </c>
      <c r="E21" s="106" t="str">
        <f>K1</f>
        <v>USA, Chesapeake</v>
      </c>
      <c r="F21" s="109">
        <v>206</v>
      </c>
      <c r="H21" s="48" t="s">
        <v>1370</v>
      </c>
      <c r="I21" s="48">
        <v>123</v>
      </c>
      <c r="K21" s="410" t="s">
        <v>3412</v>
      </c>
      <c r="L21" s="48">
        <v>244</v>
      </c>
      <c r="M21" s="112"/>
      <c r="N21" s="48" t="s">
        <v>232</v>
      </c>
      <c r="O21" s="48">
        <v>406</v>
      </c>
      <c r="R21" s="624" t="s">
        <v>249</v>
      </c>
      <c r="S21" s="48">
        <v>508</v>
      </c>
    </row>
    <row r="22" spans="2:19">
      <c r="B22" s="48" t="s">
        <v>234</v>
      </c>
      <c r="C22" s="48">
        <v>107</v>
      </c>
      <c r="E22" s="106" t="str">
        <f ca="1">L1</f>
        <v>USA, SE Coast</v>
      </c>
      <c r="F22" s="109">
        <v>207</v>
      </c>
      <c r="H22" s="48" t="s">
        <v>1371</v>
      </c>
      <c r="I22" s="48">
        <v>124</v>
      </c>
      <c r="K22" s="106" t="s">
        <v>231</v>
      </c>
      <c r="L22" s="48">
        <v>206</v>
      </c>
      <c r="M22" s="112"/>
      <c r="N22" s="48" t="s">
        <v>236</v>
      </c>
      <c r="O22" s="48">
        <v>407</v>
      </c>
      <c r="R22" s="624" t="s">
        <v>253</v>
      </c>
      <c r="S22" s="48">
        <v>509</v>
      </c>
    </row>
    <row r="23" spans="2:19">
      <c r="B23" s="48" t="s">
        <v>238</v>
      </c>
      <c r="C23" s="48">
        <v>108</v>
      </c>
      <c r="E23" s="106" t="str">
        <f>M1</f>
        <v>USA, Gulf of Mexico</v>
      </c>
      <c r="F23" s="109">
        <v>208</v>
      </c>
      <c r="H23" s="48" t="s">
        <v>1372</v>
      </c>
      <c r="I23" s="48">
        <v>125</v>
      </c>
      <c r="K23" s="106" t="s">
        <v>235</v>
      </c>
      <c r="L23" s="48">
        <v>209</v>
      </c>
      <c r="M23" s="112"/>
      <c r="N23" s="48" t="s">
        <v>240</v>
      </c>
      <c r="O23" s="48">
        <v>408</v>
      </c>
      <c r="R23" s="624" t="s">
        <v>2792</v>
      </c>
      <c r="S23" s="48">
        <v>511</v>
      </c>
    </row>
    <row r="24" spans="2:19">
      <c r="B24" s="48" t="s">
        <v>242</v>
      </c>
      <c r="C24" s="48">
        <v>109</v>
      </c>
      <c r="E24" s="106" t="str">
        <f>N1</f>
        <v>USA, East Coast misc</v>
      </c>
      <c r="F24" s="109">
        <v>209</v>
      </c>
      <c r="H24" s="48" t="s">
        <v>1373</v>
      </c>
      <c r="I24" s="48">
        <v>126</v>
      </c>
      <c r="K24" s="106" t="s">
        <v>239</v>
      </c>
      <c r="L24" s="48">
        <v>201</v>
      </c>
      <c r="M24" s="112"/>
      <c r="N24" s="48" t="s">
        <v>244</v>
      </c>
      <c r="O24" s="48">
        <v>409</v>
      </c>
      <c r="R24" s="624" t="s">
        <v>573</v>
      </c>
      <c r="S24" s="48">
        <v>512</v>
      </c>
    </row>
    <row r="25" spans="2:19">
      <c r="B25" s="48" t="s">
        <v>246</v>
      </c>
      <c r="C25" s="48">
        <v>110</v>
      </c>
      <c r="E25" s="106" t="str">
        <f>O1</f>
        <v>USA, Great Lakes</v>
      </c>
      <c r="F25" s="109">
        <v>210</v>
      </c>
      <c r="H25" s="48" t="s">
        <v>1374</v>
      </c>
      <c r="I25" s="48">
        <v>127</v>
      </c>
      <c r="K25" s="106" t="s">
        <v>243</v>
      </c>
      <c r="L25" s="48">
        <v>209</v>
      </c>
      <c r="M25" s="112"/>
      <c r="N25" s="48" t="s">
        <v>248</v>
      </c>
      <c r="O25" s="48">
        <v>410</v>
      </c>
    </row>
    <row r="26" spans="2:19">
      <c r="B26" s="48" t="s">
        <v>250</v>
      </c>
      <c r="C26" s="48">
        <v>111</v>
      </c>
      <c r="E26" s="106" t="str">
        <f>P1</f>
        <v>USA, So Cal</v>
      </c>
      <c r="F26" s="109">
        <v>211</v>
      </c>
      <c r="H26" s="48" t="s">
        <v>1375</v>
      </c>
      <c r="I26" s="48">
        <v>128</v>
      </c>
      <c r="K26" s="106" t="s">
        <v>247</v>
      </c>
      <c r="L26" s="48">
        <v>210</v>
      </c>
      <c r="M26" s="112"/>
      <c r="N26" s="48" t="s">
        <v>252</v>
      </c>
      <c r="O26" s="48">
        <v>411</v>
      </c>
    </row>
    <row r="27" spans="2:19">
      <c r="B27" s="48" t="s">
        <v>255</v>
      </c>
      <c r="C27" s="48">
        <v>112</v>
      </c>
      <c r="E27" s="106" t="str">
        <f>Q1</f>
        <v>USA, Bay Area</v>
      </c>
      <c r="F27" s="109">
        <v>212</v>
      </c>
      <c r="H27" s="48" t="s">
        <v>1376</v>
      </c>
      <c r="I27" s="48">
        <v>129</v>
      </c>
      <c r="K27" s="106" t="s">
        <v>251</v>
      </c>
      <c r="L27" s="48">
        <v>211</v>
      </c>
      <c r="M27" s="112"/>
      <c r="N27" s="48" t="s">
        <v>257</v>
      </c>
      <c r="O27" s="48">
        <v>412</v>
      </c>
    </row>
    <row r="28" spans="2:19">
      <c r="B28" s="48" t="s">
        <v>258</v>
      </c>
      <c r="C28" s="48">
        <v>113</v>
      </c>
      <c r="E28" s="106" t="str">
        <f>R1</f>
        <v>USA, Pacific NW</v>
      </c>
      <c r="F28" s="109">
        <v>213</v>
      </c>
      <c r="H28" s="48" t="s">
        <v>1377</v>
      </c>
      <c r="I28" s="48">
        <v>130</v>
      </c>
      <c r="K28" s="106" t="s">
        <v>256</v>
      </c>
      <c r="L28" s="48">
        <v>212</v>
      </c>
      <c r="M28" s="112"/>
      <c r="N28" s="48" t="s">
        <v>260</v>
      </c>
      <c r="O28" s="48">
        <v>413</v>
      </c>
    </row>
    <row r="29" spans="2:19">
      <c r="B29" s="48" t="s">
        <v>261</v>
      </c>
      <c r="C29" s="48">
        <v>114</v>
      </c>
      <c r="E29" s="106" t="str">
        <f>S1</f>
        <v>USA, West Coast misc</v>
      </c>
      <c r="F29" s="109">
        <v>214</v>
      </c>
      <c r="H29" s="48" t="s">
        <v>1378</v>
      </c>
      <c r="I29" s="48">
        <v>131</v>
      </c>
      <c r="K29" s="106" t="s">
        <v>259</v>
      </c>
      <c r="L29" s="48">
        <v>213</v>
      </c>
      <c r="M29" s="112"/>
      <c r="N29" s="48" t="s">
        <v>264</v>
      </c>
      <c r="O29" s="48">
        <v>414</v>
      </c>
    </row>
    <row r="30" spans="2:19">
      <c r="B30" s="48" t="s">
        <v>265</v>
      </c>
      <c r="C30" s="48">
        <v>115</v>
      </c>
      <c r="E30" s="106" t="str">
        <f>T1</f>
        <v>USA, Hawaii</v>
      </c>
      <c r="F30" s="109">
        <v>215</v>
      </c>
      <c r="H30" s="48" t="s">
        <v>4000</v>
      </c>
      <c r="I30" s="48">
        <v>132</v>
      </c>
      <c r="K30" s="106" t="s">
        <v>263</v>
      </c>
      <c r="L30" s="48">
        <v>214</v>
      </c>
      <c r="M30" s="112"/>
      <c r="N30" s="48" t="s">
        <v>267</v>
      </c>
      <c r="O30" s="48">
        <v>415</v>
      </c>
    </row>
    <row r="31" spans="2:19">
      <c r="B31" s="48" t="s">
        <v>2235</v>
      </c>
      <c r="C31" s="48">
        <v>117</v>
      </c>
      <c r="E31" s="106" t="str">
        <f>U1</f>
        <v>Caribbean</v>
      </c>
      <c r="F31" s="109">
        <v>216</v>
      </c>
      <c r="H31" s="48" t="s">
        <v>720</v>
      </c>
      <c r="I31" s="48">
        <v>133</v>
      </c>
      <c r="K31" s="106" t="s">
        <v>266</v>
      </c>
      <c r="L31" s="48">
        <v>215</v>
      </c>
      <c r="M31" s="112"/>
      <c r="N31" s="48" t="s">
        <v>2234</v>
      </c>
      <c r="O31" s="48">
        <v>416</v>
      </c>
    </row>
    <row r="32" spans="2:19">
      <c r="E32" s="106" t="str">
        <f>V1</f>
        <v>BVIs</v>
      </c>
      <c r="F32" s="109">
        <v>217</v>
      </c>
      <c r="H32" s="48" t="s">
        <v>722</v>
      </c>
      <c r="I32" s="48">
        <v>134</v>
      </c>
      <c r="K32" s="106" t="s">
        <v>2233</v>
      </c>
      <c r="L32" s="48">
        <v>216</v>
      </c>
      <c r="M32" s="112"/>
      <c r="N32" s="48" t="s">
        <v>2237</v>
      </c>
      <c r="O32" s="48">
        <v>417</v>
      </c>
    </row>
    <row r="33" spans="1:19">
      <c r="E33" s="106" t="str">
        <f>W1</f>
        <v>Bermuda</v>
      </c>
      <c r="F33" s="109">
        <v>218</v>
      </c>
      <c r="H33" s="48" t="s">
        <v>2480</v>
      </c>
      <c r="I33" s="48">
        <v>135</v>
      </c>
      <c r="K33" s="106" t="s">
        <v>2236</v>
      </c>
      <c r="L33" s="48">
        <v>217</v>
      </c>
      <c r="M33" s="112"/>
      <c r="N33" s="48" t="s">
        <v>2240</v>
      </c>
      <c r="O33" s="48">
        <v>418</v>
      </c>
    </row>
    <row r="34" spans="1:19">
      <c r="E34" s="106" t="str">
        <f ca="1">X1</f>
        <v>Canada</v>
      </c>
      <c r="F34" s="109">
        <v>219</v>
      </c>
      <c r="H34" s="48" t="s">
        <v>2481</v>
      </c>
      <c r="I34" s="48">
        <v>136</v>
      </c>
      <c r="K34" s="106" t="s">
        <v>2239</v>
      </c>
      <c r="L34" s="48">
        <v>218</v>
      </c>
      <c r="M34" s="112"/>
      <c r="N34" s="48" t="s">
        <v>2243</v>
      </c>
      <c r="O34" s="48">
        <v>419</v>
      </c>
    </row>
    <row r="35" spans="1:19">
      <c r="E35" s="106" t="str">
        <f ca="1">Y1</f>
        <v>Domenican Republic</v>
      </c>
      <c r="F35" s="109">
        <v>220</v>
      </c>
      <c r="H35" s="48" t="s">
        <v>2482</v>
      </c>
      <c r="I35" s="48">
        <v>137</v>
      </c>
      <c r="K35" s="106" t="s">
        <v>2242</v>
      </c>
      <c r="L35" s="48">
        <v>219</v>
      </c>
      <c r="M35" s="112"/>
      <c r="N35" s="48" t="s">
        <v>2245</v>
      </c>
      <c r="O35" s="48">
        <v>420</v>
      </c>
    </row>
    <row r="36" spans="1:19">
      <c r="E36" s="108" t="str">
        <f ca="1">Z1</f>
        <v>Denmark</v>
      </c>
      <c r="F36" s="109">
        <v>221</v>
      </c>
      <c r="H36" s="48" t="s">
        <v>2483</v>
      </c>
      <c r="I36" s="48">
        <v>138</v>
      </c>
      <c r="K36" s="106" t="s">
        <v>2244</v>
      </c>
      <c r="L36" s="48">
        <v>220</v>
      </c>
      <c r="M36" s="111"/>
      <c r="N36" s="625" t="s">
        <v>2379</v>
      </c>
      <c r="O36" s="48">
        <v>421</v>
      </c>
    </row>
    <row r="37" spans="1:19">
      <c r="A37" s="48">
        <f>Application!$C$355</f>
        <v>3</v>
      </c>
      <c r="E37" s="106" t="str">
        <f ca="1">AA1</f>
        <v>Finland</v>
      </c>
      <c r="F37" s="109">
        <v>222</v>
      </c>
      <c r="H37" s="48" t="s">
        <v>2484</v>
      </c>
      <c r="I37" s="48">
        <v>139</v>
      </c>
      <c r="K37" s="106" t="s">
        <v>2247</v>
      </c>
      <c r="L37" s="48">
        <v>221</v>
      </c>
      <c r="M37" s="112"/>
      <c r="O37" s="106"/>
    </row>
    <row r="38" spans="1:19">
      <c r="A38" s="48">
        <f>Application!$C$356</f>
        <v>1</v>
      </c>
      <c r="E38" s="106" t="str">
        <f ca="1">AB1</f>
        <v>Germany</v>
      </c>
      <c r="F38" s="109">
        <v>223</v>
      </c>
      <c r="H38" s="48" t="s">
        <v>2485</v>
      </c>
      <c r="I38" s="48">
        <v>140</v>
      </c>
      <c r="K38" s="106" t="s">
        <v>2249</v>
      </c>
      <c r="L38" s="48">
        <v>222</v>
      </c>
      <c r="M38" s="111"/>
      <c r="O38" s="106"/>
    </row>
    <row r="39" spans="1:19">
      <c r="A39" s="48">
        <f>IF(A38=1,0,IF(A37&lt;2,0,IF(A37=2,A38+99,IF(A37=3,A38+116,IF(A37=4,A38+199,IF(A37=5,A38+399,IF(A37=6,A38+499,0)))))))</f>
        <v>0</v>
      </c>
      <c r="E39" s="106" t="str">
        <f ca="1">AC1</f>
        <v>Netherlands</v>
      </c>
      <c r="F39" s="109">
        <v>224</v>
      </c>
      <c r="H39" s="48" t="s">
        <v>2486</v>
      </c>
      <c r="I39" s="48">
        <v>141</v>
      </c>
      <c r="K39" s="410" t="s">
        <v>2795</v>
      </c>
      <c r="L39" s="48">
        <v>242</v>
      </c>
      <c r="M39" s="111"/>
    </row>
    <row r="40" spans="1:19">
      <c r="E40" s="106" t="str">
        <f ca="1">AD1</f>
        <v>Norway</v>
      </c>
      <c r="F40" s="109">
        <v>225</v>
      </c>
      <c r="H40" s="48" t="s">
        <v>2487</v>
      </c>
      <c r="I40" s="48">
        <v>142</v>
      </c>
      <c r="K40" s="106" t="s">
        <v>2251</v>
      </c>
      <c r="L40" s="48">
        <v>223</v>
      </c>
      <c r="M40" s="111"/>
    </row>
    <row r="41" spans="1:19">
      <c r="E41" s="106" t="str">
        <f ca="1">AE1</f>
        <v>Sweden</v>
      </c>
      <c r="F41" s="109">
        <v>226</v>
      </c>
      <c r="H41" s="48" t="s">
        <v>2488</v>
      </c>
      <c r="I41" s="48">
        <v>143</v>
      </c>
      <c r="K41" s="410" t="s">
        <v>572</v>
      </c>
      <c r="L41" s="48">
        <v>243</v>
      </c>
      <c r="M41" s="112"/>
    </row>
    <row r="42" spans="1:19">
      <c r="E42" s="106" t="str">
        <f ca="1">AF1</f>
        <v>Iceland</v>
      </c>
      <c r="F42" s="109">
        <v>227</v>
      </c>
      <c r="H42" s="48" t="s">
        <v>2489</v>
      </c>
      <c r="I42" s="48">
        <v>144</v>
      </c>
      <c r="K42" s="106" t="s">
        <v>3980</v>
      </c>
      <c r="L42" s="48">
        <v>224</v>
      </c>
      <c r="M42" s="112"/>
      <c r="S42" s="111"/>
    </row>
    <row r="43" spans="1:19">
      <c r="E43" s="106" t="str">
        <f ca="1">AG1</f>
        <v>Cyprus</v>
      </c>
      <c r="F43" s="109">
        <v>228</v>
      </c>
      <c r="H43" s="48" t="s">
        <v>2490</v>
      </c>
      <c r="I43" s="48">
        <v>145</v>
      </c>
      <c r="K43" s="106" t="s">
        <v>3982</v>
      </c>
      <c r="L43" s="48">
        <v>225</v>
      </c>
      <c r="M43" s="111"/>
    </row>
    <row r="44" spans="1:19">
      <c r="E44" s="106" t="str">
        <f ca="1">AH1</f>
        <v>Israel</v>
      </c>
      <c r="F44" s="109">
        <v>229</v>
      </c>
      <c r="H44" s="48" t="s">
        <v>2491</v>
      </c>
      <c r="I44" s="48">
        <v>146</v>
      </c>
      <c r="K44" s="106" t="s">
        <v>3984</v>
      </c>
      <c r="L44" s="48">
        <v>226</v>
      </c>
      <c r="M44" s="111"/>
    </row>
    <row r="45" spans="1:19">
      <c r="E45" s="106" t="str">
        <f ca="1">AI1</f>
        <v>Malta</v>
      </c>
      <c r="F45" s="109">
        <v>230</v>
      </c>
      <c r="H45" s="48" t="s">
        <v>2492</v>
      </c>
      <c r="I45" s="48">
        <v>147</v>
      </c>
      <c r="K45" s="106" t="s">
        <v>3986</v>
      </c>
      <c r="L45" s="48">
        <v>227</v>
      </c>
      <c r="M45" s="112"/>
    </row>
    <row r="46" spans="1:19">
      <c r="E46" s="106" t="str">
        <f ca="1">AJ1</f>
        <v>Japan</v>
      </c>
      <c r="F46" s="109">
        <v>231</v>
      </c>
      <c r="H46" s="48" t="s">
        <v>2493</v>
      </c>
      <c r="I46" s="48">
        <v>148</v>
      </c>
      <c r="K46" s="106" t="s">
        <v>3987</v>
      </c>
      <c r="L46" s="48">
        <v>228</v>
      </c>
      <c r="M46" s="111"/>
    </row>
    <row r="47" spans="1:19">
      <c r="E47" s="106" t="str">
        <f ca="1">AK1</f>
        <v>Kuwait</v>
      </c>
      <c r="F47" s="109">
        <v>232</v>
      </c>
      <c r="H47" s="48" t="s">
        <v>2494</v>
      </c>
      <c r="I47" s="48">
        <v>149</v>
      </c>
      <c r="K47" s="106" t="s">
        <v>3989</v>
      </c>
      <c r="L47" s="48">
        <v>229</v>
      </c>
      <c r="M47" s="111"/>
    </row>
    <row r="48" spans="1:19">
      <c r="E48" s="106" t="str">
        <f ca="1">AL1</f>
        <v>Korea</v>
      </c>
      <c r="F48" s="109">
        <v>233</v>
      </c>
      <c r="H48" s="48" t="s">
        <v>2496</v>
      </c>
      <c r="I48" s="48">
        <v>150</v>
      </c>
      <c r="K48" s="106" t="s">
        <v>3991</v>
      </c>
      <c r="L48" s="48">
        <v>230</v>
      </c>
      <c r="M48" s="111"/>
    </row>
    <row r="49" spans="5:15">
      <c r="E49" s="106" t="str">
        <f ca="1">AM1</f>
        <v>Vietnam</v>
      </c>
      <c r="F49" s="109">
        <v>234</v>
      </c>
      <c r="H49" s="48" t="s">
        <v>2497</v>
      </c>
      <c r="I49" s="48">
        <v>151</v>
      </c>
      <c r="K49" s="106" t="s">
        <v>3993</v>
      </c>
      <c r="L49" s="48">
        <v>231</v>
      </c>
      <c r="M49" s="111"/>
    </row>
    <row r="50" spans="5:15">
      <c r="E50" s="106" t="str">
        <f ca="1">AN1</f>
        <v>Worldwide</v>
      </c>
      <c r="F50" s="109">
        <v>235</v>
      </c>
      <c r="H50" s="625" t="s">
        <v>4677</v>
      </c>
      <c r="I50" s="48">
        <v>152</v>
      </c>
      <c r="K50" s="106" t="s">
        <v>3995</v>
      </c>
      <c r="L50" s="48">
        <v>232</v>
      </c>
      <c r="M50" s="111"/>
    </row>
    <row r="51" spans="5:15">
      <c r="E51" s="106" t="str">
        <f ca="1">AO1</f>
        <v/>
      </c>
      <c r="F51" s="109">
        <v>236</v>
      </c>
      <c r="I51" s="48">
        <v>153</v>
      </c>
      <c r="K51" s="106" t="s">
        <v>3997</v>
      </c>
      <c r="L51" s="48">
        <v>233</v>
      </c>
      <c r="M51" s="112"/>
      <c r="O51" s="106"/>
    </row>
    <row r="52" spans="5:15">
      <c r="E52" s="106" t="str">
        <f ca="1">AP1</f>
        <v/>
      </c>
      <c r="F52" s="109">
        <v>237</v>
      </c>
      <c r="I52" s="48">
        <v>154</v>
      </c>
      <c r="K52" s="106" t="s">
        <v>3999</v>
      </c>
      <c r="L52" s="48">
        <v>234</v>
      </c>
      <c r="M52" s="111"/>
      <c r="O52" s="106"/>
    </row>
    <row r="53" spans="5:15">
      <c r="E53" s="106" t="str">
        <f ca="1">AQ1</f>
        <v/>
      </c>
      <c r="F53" s="109">
        <v>238</v>
      </c>
      <c r="I53" s="48">
        <v>155</v>
      </c>
      <c r="K53" s="106" t="s">
        <v>4001</v>
      </c>
      <c r="L53" s="111">
        <v>235</v>
      </c>
      <c r="M53" s="112"/>
      <c r="O53" s="106"/>
    </row>
    <row r="54" spans="5:15">
      <c r="E54" s="106" t="str">
        <f ca="1">AR1</f>
        <v/>
      </c>
      <c r="F54" s="109">
        <v>239</v>
      </c>
      <c r="I54" s="48">
        <v>156</v>
      </c>
      <c r="K54" s="106" t="s">
        <v>4003</v>
      </c>
      <c r="L54" s="111">
        <v>236</v>
      </c>
      <c r="M54" s="111"/>
      <c r="O54" s="106"/>
    </row>
    <row r="55" spans="5:15">
      <c r="E55" s="106" t="str">
        <f ca="1">AS1</f>
        <v/>
      </c>
      <c r="F55" s="109">
        <v>240</v>
      </c>
      <c r="I55" s="106">
        <v>157</v>
      </c>
      <c r="K55" s="106" t="s">
        <v>717</v>
      </c>
      <c r="L55" s="111">
        <v>237</v>
      </c>
    </row>
    <row r="56" spans="5:15">
      <c r="E56" s="48" t="str">
        <f ca="1">AT1</f>
        <v/>
      </c>
      <c r="F56" s="109">
        <v>241</v>
      </c>
      <c r="I56" s="106">
        <v>158</v>
      </c>
      <c r="K56" s="106" t="s">
        <v>719</v>
      </c>
      <c r="L56" s="111">
        <v>238</v>
      </c>
    </row>
    <row r="57" spans="5:15">
      <c r="E57" s="48"/>
      <c r="I57" s="106"/>
      <c r="K57" s="106" t="s">
        <v>721</v>
      </c>
      <c r="L57" s="111">
        <v>239</v>
      </c>
    </row>
    <row r="58" spans="5:15">
      <c r="K58" s="410" t="s">
        <v>154</v>
      </c>
      <c r="L58" s="111">
        <v>207</v>
      </c>
    </row>
    <row r="59" spans="5:15">
      <c r="K59" s="410" t="s">
        <v>161</v>
      </c>
      <c r="L59" s="111">
        <v>208</v>
      </c>
    </row>
  </sheetData>
  <sheetProtection password="C620" sheet="1"/>
  <phoneticPr fontId="19"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128"/>
  <sheetViews>
    <sheetView workbookViewId="0">
      <selection activeCell="A31" sqref="A31"/>
    </sheetView>
  </sheetViews>
  <sheetFormatPr defaultColWidth="11.42578125" defaultRowHeight="12.75"/>
  <cols>
    <col min="14" max="14" width="11.42578125" style="544"/>
  </cols>
  <sheetData>
    <row r="1" spans="1:14">
      <c r="A1" t="s">
        <v>3393</v>
      </c>
      <c r="D1" t="s">
        <v>3394</v>
      </c>
      <c r="G1" t="s">
        <v>3396</v>
      </c>
      <c r="J1" t="s">
        <v>3397</v>
      </c>
      <c r="M1" t="s">
        <v>3935</v>
      </c>
    </row>
    <row r="2" spans="1:14">
      <c r="A2" s="122" t="s">
        <v>2784</v>
      </c>
      <c r="B2" s="640">
        <v>1</v>
      </c>
      <c r="C2" s="122"/>
      <c r="D2" s="122" t="s">
        <v>2785</v>
      </c>
      <c r="E2" s="640">
        <v>22</v>
      </c>
      <c r="F2" s="122"/>
      <c r="G2" s="122" t="s">
        <v>2786</v>
      </c>
      <c r="H2" s="640">
        <v>52</v>
      </c>
      <c r="I2" s="122"/>
      <c r="J2" s="122" t="s">
        <v>3406</v>
      </c>
      <c r="K2" s="640">
        <v>68</v>
      </c>
      <c r="L2" s="122"/>
      <c r="M2" s="122" t="s">
        <v>2787</v>
      </c>
      <c r="N2" s="641">
        <v>77</v>
      </c>
    </row>
    <row r="3" spans="1:14">
      <c r="A3" s="122" t="s">
        <v>2788</v>
      </c>
      <c r="B3" s="640">
        <v>2</v>
      </c>
      <c r="C3" s="122"/>
      <c r="D3" s="122" t="s">
        <v>3414</v>
      </c>
      <c r="E3" s="640">
        <v>23</v>
      </c>
      <c r="F3" s="122"/>
      <c r="G3" s="122" t="s">
        <v>2789</v>
      </c>
      <c r="H3" s="640">
        <v>53</v>
      </c>
      <c r="I3" s="122"/>
      <c r="J3" s="122" t="s">
        <v>3412</v>
      </c>
      <c r="K3" s="640">
        <v>69</v>
      </c>
      <c r="L3" s="122"/>
      <c r="M3" s="122" t="s">
        <v>2790</v>
      </c>
      <c r="N3" s="641">
        <v>78</v>
      </c>
    </row>
    <row r="4" spans="1:14">
      <c r="A4" s="122" t="s">
        <v>2481</v>
      </c>
      <c r="B4" s="640">
        <v>3</v>
      </c>
      <c r="C4" s="122"/>
      <c r="D4" s="122" t="s">
        <v>2791</v>
      </c>
      <c r="E4" s="640">
        <v>24</v>
      </c>
      <c r="F4" s="122"/>
      <c r="G4" s="122" t="s">
        <v>267</v>
      </c>
      <c r="H4" s="640">
        <v>54</v>
      </c>
      <c r="I4" s="122"/>
      <c r="J4" s="122" t="s">
        <v>2792</v>
      </c>
      <c r="K4" s="640">
        <v>70</v>
      </c>
      <c r="L4" s="122"/>
      <c r="M4" s="122" t="s">
        <v>2793</v>
      </c>
      <c r="N4" s="641">
        <v>79</v>
      </c>
    </row>
    <row r="5" spans="1:14">
      <c r="A5" s="122" t="s">
        <v>2490</v>
      </c>
      <c r="B5" s="640">
        <v>4</v>
      </c>
      <c r="C5" s="122"/>
      <c r="D5" s="122" t="s">
        <v>3412</v>
      </c>
      <c r="E5" s="640">
        <v>25</v>
      </c>
      <c r="F5" s="123"/>
      <c r="G5" s="122" t="s">
        <v>248</v>
      </c>
      <c r="H5" s="640">
        <v>55</v>
      </c>
      <c r="I5" s="122"/>
      <c r="J5" s="122" t="s">
        <v>573</v>
      </c>
      <c r="K5" s="640">
        <v>71</v>
      </c>
      <c r="L5" s="122"/>
      <c r="M5" s="122" t="s">
        <v>2796</v>
      </c>
      <c r="N5" s="641">
        <v>80</v>
      </c>
    </row>
    <row r="6" spans="1:14">
      <c r="A6" s="122" t="s">
        <v>2483</v>
      </c>
      <c r="B6" s="640">
        <v>5</v>
      </c>
      <c r="C6" s="122"/>
      <c r="D6" s="122" t="s">
        <v>231</v>
      </c>
      <c r="E6" s="640">
        <v>26</v>
      </c>
      <c r="F6" s="122"/>
      <c r="G6" s="122" t="s">
        <v>2379</v>
      </c>
      <c r="H6" s="640">
        <v>56</v>
      </c>
      <c r="I6" s="122"/>
      <c r="J6" s="122" t="s">
        <v>165</v>
      </c>
      <c r="K6" s="640">
        <v>72</v>
      </c>
      <c r="L6" s="122"/>
      <c r="M6" s="122" t="s">
        <v>2797</v>
      </c>
      <c r="N6" s="641">
        <v>81</v>
      </c>
    </row>
    <row r="7" spans="1:14">
      <c r="A7" s="122" t="s">
        <v>2798</v>
      </c>
      <c r="B7" s="640">
        <v>6</v>
      </c>
      <c r="C7" s="122"/>
      <c r="D7" s="122" t="s">
        <v>2794</v>
      </c>
      <c r="E7" s="640">
        <v>27</v>
      </c>
      <c r="F7" s="122"/>
      <c r="G7" s="122" t="s">
        <v>252</v>
      </c>
      <c r="H7" s="640">
        <v>57</v>
      </c>
      <c r="I7" s="122"/>
      <c r="J7" s="122" t="s">
        <v>237</v>
      </c>
      <c r="K7" s="640">
        <v>73</v>
      </c>
      <c r="L7" s="122"/>
      <c r="M7" s="122" t="s">
        <v>2799</v>
      </c>
      <c r="N7" s="641">
        <v>82</v>
      </c>
    </row>
    <row r="8" spans="1:14">
      <c r="A8" s="122" t="s">
        <v>2484</v>
      </c>
      <c r="B8" s="640">
        <v>7</v>
      </c>
      <c r="C8" s="122"/>
      <c r="D8" s="122" t="s">
        <v>235</v>
      </c>
      <c r="E8" s="640">
        <v>28</v>
      </c>
      <c r="F8" s="122"/>
      <c r="G8" s="122" t="s">
        <v>240</v>
      </c>
      <c r="H8" s="640">
        <v>58</v>
      </c>
      <c r="I8" s="122"/>
      <c r="J8" s="122" t="s">
        <v>241</v>
      </c>
      <c r="K8" s="640">
        <v>74</v>
      </c>
      <c r="L8" s="122"/>
      <c r="M8" s="122" t="s">
        <v>2800</v>
      </c>
      <c r="N8" s="641">
        <v>83</v>
      </c>
    </row>
    <row r="9" spans="1:14">
      <c r="A9" s="122" t="s">
        <v>2485</v>
      </c>
      <c r="B9" s="640">
        <v>8</v>
      </c>
      <c r="C9" s="122"/>
      <c r="D9" s="122" t="s">
        <v>239</v>
      </c>
      <c r="E9" s="640">
        <v>29</v>
      </c>
      <c r="F9" s="122"/>
      <c r="G9" s="122" t="s">
        <v>2243</v>
      </c>
      <c r="H9" s="640">
        <v>59</v>
      </c>
      <c r="I9" s="122"/>
      <c r="J9" s="122" t="s">
        <v>4685</v>
      </c>
      <c r="K9" s="640">
        <v>75</v>
      </c>
      <c r="M9" s="122" t="s">
        <v>2801</v>
      </c>
      <c r="N9" s="641">
        <v>84</v>
      </c>
    </row>
    <row r="10" spans="1:14">
      <c r="A10" s="122" t="s">
        <v>2489</v>
      </c>
      <c r="B10" s="640">
        <v>9</v>
      </c>
      <c r="C10" s="122"/>
      <c r="D10" s="122" t="s">
        <v>243</v>
      </c>
      <c r="E10" s="640">
        <v>30</v>
      </c>
      <c r="F10" s="122"/>
      <c r="G10" s="122" t="s">
        <v>257</v>
      </c>
      <c r="H10" s="640">
        <v>60</v>
      </c>
      <c r="I10" s="122"/>
      <c r="J10" s="122" t="s">
        <v>253</v>
      </c>
      <c r="K10" s="640">
        <v>76</v>
      </c>
      <c r="M10" s="122" t="s">
        <v>2803</v>
      </c>
      <c r="N10" s="641">
        <v>85</v>
      </c>
    </row>
    <row r="11" spans="1:14">
      <c r="A11" s="122" t="s">
        <v>2804</v>
      </c>
      <c r="B11" s="640">
        <v>10</v>
      </c>
      <c r="C11" s="122"/>
      <c r="D11" s="122" t="s">
        <v>2802</v>
      </c>
      <c r="E11" s="640">
        <v>31</v>
      </c>
      <c r="F11" s="122"/>
      <c r="G11" s="122" t="s">
        <v>2245</v>
      </c>
      <c r="H11" s="640">
        <v>61</v>
      </c>
      <c r="I11" s="122"/>
      <c r="M11" s="122" t="s">
        <v>2805</v>
      </c>
      <c r="N11" s="641">
        <v>86</v>
      </c>
    </row>
    <row r="12" spans="1:14">
      <c r="A12" s="122" t="s">
        <v>2491</v>
      </c>
      <c r="B12" s="640">
        <v>11</v>
      </c>
      <c r="C12" s="122"/>
      <c r="D12" s="122" t="s">
        <v>2233</v>
      </c>
      <c r="E12" s="640">
        <v>32</v>
      </c>
      <c r="F12" s="122"/>
      <c r="G12" s="122" t="s">
        <v>260</v>
      </c>
      <c r="H12" s="640">
        <v>62</v>
      </c>
      <c r="I12" s="122"/>
      <c r="M12" s="122" t="s">
        <v>2807</v>
      </c>
      <c r="N12" s="641">
        <v>87</v>
      </c>
    </row>
    <row r="13" spans="1:14">
      <c r="A13" s="122" t="s">
        <v>2493</v>
      </c>
      <c r="B13" s="640">
        <v>12</v>
      </c>
      <c r="C13" s="122"/>
      <c r="D13" s="122" t="s">
        <v>2806</v>
      </c>
      <c r="E13" s="640">
        <v>33</v>
      </c>
      <c r="F13" s="122"/>
      <c r="G13" s="122" t="s">
        <v>244</v>
      </c>
      <c r="H13" s="640">
        <v>63</v>
      </c>
      <c r="M13" s="122" t="s">
        <v>2808</v>
      </c>
      <c r="N13" s="641">
        <v>88</v>
      </c>
    </row>
    <row r="14" spans="1:14">
      <c r="A14" s="122" t="s">
        <v>2809</v>
      </c>
      <c r="B14" s="640">
        <v>13</v>
      </c>
      <c r="C14" s="122"/>
      <c r="D14" s="122" t="s">
        <v>2242</v>
      </c>
      <c r="E14" s="640">
        <v>34</v>
      </c>
      <c r="F14" s="122"/>
      <c r="G14" t="s">
        <v>3890</v>
      </c>
      <c r="H14" s="640">
        <v>64</v>
      </c>
      <c r="I14" s="122"/>
      <c r="M14" s="122" t="s">
        <v>2810</v>
      </c>
      <c r="N14" s="641">
        <v>89</v>
      </c>
    </row>
    <row r="15" spans="1:14">
      <c r="A15" s="122" t="s">
        <v>2494</v>
      </c>
      <c r="B15" s="640">
        <v>14</v>
      </c>
      <c r="C15" s="122"/>
      <c r="D15" s="122" t="s">
        <v>2244</v>
      </c>
      <c r="E15" s="640">
        <v>35</v>
      </c>
      <c r="F15" s="122"/>
      <c r="G15" s="122" t="s">
        <v>264</v>
      </c>
      <c r="H15" s="640">
        <v>65</v>
      </c>
      <c r="I15" s="122"/>
      <c r="M15" s="122" t="s">
        <v>2559</v>
      </c>
      <c r="N15" s="641">
        <v>90</v>
      </c>
    </row>
    <row r="16" spans="1:14">
      <c r="A16" s="122" t="s">
        <v>2492</v>
      </c>
      <c r="B16" s="640">
        <v>15</v>
      </c>
      <c r="C16" s="122"/>
      <c r="D16" s="122" t="s">
        <v>2247</v>
      </c>
      <c r="E16" s="640">
        <v>36</v>
      </c>
      <c r="F16" s="122"/>
      <c r="G16" s="122" t="s">
        <v>2558</v>
      </c>
      <c r="H16" s="640">
        <v>66</v>
      </c>
      <c r="I16" s="122"/>
      <c r="M16" s="122" t="s">
        <v>2560</v>
      </c>
      <c r="N16" s="641">
        <v>91</v>
      </c>
    </row>
    <row r="17" spans="1:14">
      <c r="A17" s="122" t="s">
        <v>2486</v>
      </c>
      <c r="B17" s="640">
        <v>16</v>
      </c>
      <c r="C17" s="122"/>
      <c r="D17" s="122" t="s">
        <v>2249</v>
      </c>
      <c r="E17" s="640">
        <v>37</v>
      </c>
      <c r="F17" s="122"/>
      <c r="G17" s="122" t="s">
        <v>2497</v>
      </c>
      <c r="H17" s="640">
        <v>67</v>
      </c>
      <c r="M17" s="122" t="s">
        <v>2561</v>
      </c>
      <c r="N17" s="641">
        <v>92</v>
      </c>
    </row>
    <row r="18" spans="1:14">
      <c r="A18" s="122" t="s">
        <v>2487</v>
      </c>
      <c r="B18" s="640">
        <v>17</v>
      </c>
      <c r="C18" s="122"/>
      <c r="D18" s="122" t="s">
        <v>2795</v>
      </c>
      <c r="E18" s="640">
        <v>38</v>
      </c>
      <c r="F18" s="122"/>
      <c r="M18" s="122" t="s">
        <v>2562</v>
      </c>
      <c r="N18" s="641">
        <v>93</v>
      </c>
    </row>
    <row r="19" spans="1:14">
      <c r="A19" s="122" t="s">
        <v>2488</v>
      </c>
      <c r="B19" s="640">
        <v>18</v>
      </c>
      <c r="C19" s="122"/>
      <c r="D19" s="122" t="s">
        <v>2251</v>
      </c>
      <c r="E19" s="640">
        <v>39</v>
      </c>
      <c r="F19" s="122"/>
      <c r="M19" s="122" t="s">
        <v>2563</v>
      </c>
      <c r="N19" s="641">
        <v>94</v>
      </c>
    </row>
    <row r="20" spans="1:14">
      <c r="A20" s="122" t="s">
        <v>2011</v>
      </c>
      <c r="B20" s="640">
        <v>19</v>
      </c>
      <c r="C20" s="122"/>
      <c r="D20" s="122" t="s">
        <v>572</v>
      </c>
      <c r="E20" s="640">
        <v>40</v>
      </c>
      <c r="F20" s="122"/>
      <c r="M20" s="122" t="s">
        <v>4357</v>
      </c>
      <c r="N20" s="641">
        <v>95</v>
      </c>
    </row>
    <row r="21" spans="1:14">
      <c r="A21" s="122" t="s">
        <v>4356</v>
      </c>
      <c r="B21" s="640">
        <v>20</v>
      </c>
      <c r="C21" s="122"/>
      <c r="D21" s="122" t="s">
        <v>3980</v>
      </c>
      <c r="E21" s="640">
        <v>41</v>
      </c>
      <c r="F21" s="122"/>
      <c r="M21" s="122" t="s">
        <v>4359</v>
      </c>
      <c r="N21" s="641">
        <v>96</v>
      </c>
    </row>
    <row r="22" spans="1:14">
      <c r="A22" s="122" t="s">
        <v>4358</v>
      </c>
      <c r="B22" s="640">
        <v>21</v>
      </c>
      <c r="D22" s="122" t="s">
        <v>3982</v>
      </c>
      <c r="E22" s="640">
        <v>42</v>
      </c>
      <c r="F22" s="122"/>
      <c r="M22" s="122" t="s">
        <v>4360</v>
      </c>
      <c r="N22" s="641">
        <v>97</v>
      </c>
    </row>
    <row r="23" spans="1:14">
      <c r="D23" s="122" t="s">
        <v>3984</v>
      </c>
      <c r="E23" s="640">
        <v>43</v>
      </c>
      <c r="F23" s="122"/>
      <c r="M23" s="122" t="s">
        <v>4362</v>
      </c>
      <c r="N23" s="641">
        <v>98</v>
      </c>
    </row>
    <row r="24" spans="1:14">
      <c r="D24" s="122" t="s">
        <v>3986</v>
      </c>
      <c r="E24" s="640">
        <v>44</v>
      </c>
      <c r="F24" s="122"/>
      <c r="M24" s="122" t="s">
        <v>4363</v>
      </c>
      <c r="N24" s="641">
        <v>99</v>
      </c>
    </row>
    <row r="25" spans="1:14">
      <c r="D25" s="122" t="s">
        <v>3991</v>
      </c>
      <c r="E25" s="640">
        <v>45</v>
      </c>
      <c r="F25" s="122"/>
      <c r="M25" s="122" t="s">
        <v>4365</v>
      </c>
      <c r="N25" s="641">
        <v>100</v>
      </c>
    </row>
    <row r="26" spans="1:14">
      <c r="D26" s="122" t="s">
        <v>4361</v>
      </c>
      <c r="E26" s="640">
        <v>46</v>
      </c>
      <c r="F26" s="122"/>
      <c r="M26" s="122" t="s">
        <v>4366</v>
      </c>
      <c r="N26" s="641">
        <v>101</v>
      </c>
    </row>
    <row r="27" spans="1:14">
      <c r="D27" s="122" t="s">
        <v>3995</v>
      </c>
      <c r="E27" s="640">
        <v>47</v>
      </c>
      <c r="F27" s="122"/>
      <c r="M27" s="122" t="s">
        <v>4368</v>
      </c>
      <c r="N27" s="641">
        <v>102</v>
      </c>
    </row>
    <row r="28" spans="1:14">
      <c r="D28" s="122" t="s">
        <v>4364</v>
      </c>
      <c r="E28" s="640">
        <v>48</v>
      </c>
      <c r="F28" s="122"/>
      <c r="M28" s="122" t="s">
        <v>165</v>
      </c>
      <c r="N28" s="641">
        <v>103</v>
      </c>
    </row>
    <row r="29" spans="1:14">
      <c r="D29" s="122" t="s">
        <v>4001</v>
      </c>
      <c r="E29" s="640">
        <v>49</v>
      </c>
      <c r="F29" s="122"/>
      <c r="M29" s="122" t="s">
        <v>4369</v>
      </c>
      <c r="N29" s="641">
        <v>104</v>
      </c>
    </row>
    <row r="30" spans="1:14">
      <c r="D30" s="122" t="s">
        <v>4367</v>
      </c>
      <c r="E30" s="640">
        <v>50</v>
      </c>
      <c r="M30" s="122" t="s">
        <v>4370</v>
      </c>
      <c r="N30" s="641">
        <v>105</v>
      </c>
    </row>
    <row r="31" spans="1:14">
      <c r="A31" t="str">
        <f>IF(Application!C360=1,"X",IF(Application!C360=2,"A",IF(Application!C360=3,"D",IF(Application!C360=4,"G",IF(Application!C360=5,"J","M")))))</f>
        <v>A</v>
      </c>
      <c r="D31" s="122" t="s">
        <v>721</v>
      </c>
      <c r="E31" s="640">
        <v>51</v>
      </c>
      <c r="M31" s="122" t="s">
        <v>4371</v>
      </c>
      <c r="N31" s="641">
        <v>106</v>
      </c>
    </row>
    <row r="32" spans="1:14">
      <c r="A32">
        <f>Application!C362</f>
        <v>22</v>
      </c>
      <c r="M32" s="122" t="s">
        <v>2360</v>
      </c>
      <c r="N32" s="641">
        <v>107</v>
      </c>
    </row>
    <row r="33" spans="1:14">
      <c r="A33" t="str">
        <f>A31&amp;Application!C362</f>
        <v>A22</v>
      </c>
      <c r="M33" s="122" t="s">
        <v>2361</v>
      </c>
      <c r="N33" s="641">
        <v>108</v>
      </c>
    </row>
    <row r="34" spans="1:14">
      <c r="A34" t="str">
        <f ca="1">INDIRECT(A33)</f>
        <v>United States</v>
      </c>
      <c r="M34" s="122" t="s">
        <v>2362</v>
      </c>
      <c r="N34" s="641">
        <v>109</v>
      </c>
    </row>
    <row r="35" spans="1:14">
      <c r="M35" s="122" t="s">
        <v>2363</v>
      </c>
      <c r="N35" s="641">
        <v>110</v>
      </c>
    </row>
    <row r="36" spans="1:14">
      <c r="M36" s="122" t="s">
        <v>2364</v>
      </c>
      <c r="N36" s="641">
        <v>111</v>
      </c>
    </row>
    <row r="37" spans="1:14">
      <c r="M37" s="122" t="s">
        <v>2365</v>
      </c>
      <c r="N37" s="641">
        <v>112</v>
      </c>
    </row>
    <row r="38" spans="1:14">
      <c r="M38" s="122" t="s">
        <v>2366</v>
      </c>
      <c r="N38" s="641">
        <v>113</v>
      </c>
    </row>
    <row r="39" spans="1:14">
      <c r="M39" s="122" t="s">
        <v>2367</v>
      </c>
      <c r="N39" s="641">
        <v>114</v>
      </c>
    </row>
    <row r="40" spans="1:14">
      <c r="M40" s="122" t="s">
        <v>2368</v>
      </c>
      <c r="N40" s="641">
        <v>115</v>
      </c>
    </row>
    <row r="41" spans="1:14">
      <c r="M41" s="122" t="s">
        <v>2369</v>
      </c>
      <c r="N41" s="641">
        <v>116</v>
      </c>
    </row>
    <row r="42" spans="1:14">
      <c r="M42" s="122" t="s">
        <v>2370</v>
      </c>
      <c r="N42" s="641">
        <v>117</v>
      </c>
    </row>
    <row r="43" spans="1:14">
      <c r="M43" s="122" t="s">
        <v>2371</v>
      </c>
      <c r="N43" s="641">
        <v>118</v>
      </c>
    </row>
    <row r="44" spans="1:14">
      <c r="M44" s="122" t="s">
        <v>2372</v>
      </c>
      <c r="N44" s="641">
        <v>119</v>
      </c>
    </row>
    <row r="45" spans="1:14">
      <c r="M45" s="122" t="s">
        <v>2373</v>
      </c>
      <c r="N45" s="641">
        <v>120</v>
      </c>
    </row>
    <row r="46" spans="1:14">
      <c r="M46" s="122" t="s">
        <v>2374</v>
      </c>
      <c r="N46" s="641">
        <v>121</v>
      </c>
    </row>
    <row r="47" spans="1:14">
      <c r="M47" s="122" t="s">
        <v>2375</v>
      </c>
      <c r="N47" s="641">
        <v>122</v>
      </c>
    </row>
    <row r="48" spans="1:14">
      <c r="M48" s="122" t="s">
        <v>2376</v>
      </c>
      <c r="N48" s="641">
        <v>123</v>
      </c>
    </row>
    <row r="49" spans="13:14">
      <c r="M49" s="122" t="s">
        <v>2377</v>
      </c>
      <c r="N49" s="641">
        <v>124</v>
      </c>
    </row>
    <row r="50" spans="13:14">
      <c r="M50" s="122" t="s">
        <v>2378</v>
      </c>
      <c r="N50" s="641">
        <v>125</v>
      </c>
    </row>
    <row r="51" spans="13:14">
      <c r="M51" s="122" t="s">
        <v>2379</v>
      </c>
      <c r="N51" s="641">
        <v>126</v>
      </c>
    </row>
    <row r="52" spans="13:14">
      <c r="M52" s="122" t="s">
        <v>2380</v>
      </c>
      <c r="N52" s="641">
        <v>127</v>
      </c>
    </row>
    <row r="53" spans="13:14">
      <c r="M53" s="122" t="s">
        <v>2381</v>
      </c>
      <c r="N53" s="641">
        <v>128</v>
      </c>
    </row>
    <row r="54" spans="13:14">
      <c r="M54" s="122" t="s">
        <v>2382</v>
      </c>
      <c r="N54" s="641">
        <v>129</v>
      </c>
    </row>
    <row r="55" spans="13:14">
      <c r="M55" s="122" t="s">
        <v>2383</v>
      </c>
      <c r="N55" s="641">
        <v>130</v>
      </c>
    </row>
    <row r="56" spans="13:14">
      <c r="M56" s="122" t="s">
        <v>2384</v>
      </c>
      <c r="N56" s="641">
        <v>131</v>
      </c>
    </row>
    <row r="57" spans="13:14">
      <c r="M57" s="122" t="s">
        <v>2385</v>
      </c>
      <c r="N57" s="641">
        <v>132</v>
      </c>
    </row>
    <row r="58" spans="13:14">
      <c r="M58" s="122" t="s">
        <v>2386</v>
      </c>
      <c r="N58" s="641">
        <v>133</v>
      </c>
    </row>
    <row r="59" spans="13:14">
      <c r="M59" s="122" t="s">
        <v>2387</v>
      </c>
      <c r="N59" s="641">
        <v>134</v>
      </c>
    </row>
    <row r="60" spans="13:14">
      <c r="M60" s="122" t="s">
        <v>2388</v>
      </c>
      <c r="N60" s="641">
        <v>135</v>
      </c>
    </row>
    <row r="61" spans="13:14">
      <c r="M61" s="122" t="s">
        <v>2389</v>
      </c>
      <c r="N61" s="641">
        <v>136</v>
      </c>
    </row>
    <row r="62" spans="13:14">
      <c r="M62" s="122" t="s">
        <v>2390</v>
      </c>
      <c r="N62" s="641">
        <v>137</v>
      </c>
    </row>
    <row r="63" spans="13:14">
      <c r="M63" s="122" t="s">
        <v>2391</v>
      </c>
      <c r="N63" s="641">
        <v>138</v>
      </c>
    </row>
    <row r="64" spans="13:14">
      <c r="M64" s="122" t="s">
        <v>2392</v>
      </c>
      <c r="N64" s="641">
        <v>139</v>
      </c>
    </row>
    <row r="65" spans="13:14">
      <c r="M65" s="122" t="s">
        <v>2393</v>
      </c>
      <c r="N65" s="641">
        <v>140</v>
      </c>
    </row>
    <row r="66" spans="13:14">
      <c r="M66" s="122" t="s">
        <v>2394</v>
      </c>
      <c r="N66" s="641">
        <v>141</v>
      </c>
    </row>
    <row r="67" spans="13:14">
      <c r="M67" s="122" t="s">
        <v>2395</v>
      </c>
      <c r="N67" s="641">
        <v>142</v>
      </c>
    </row>
    <row r="68" spans="13:14">
      <c r="M68" s="122" t="s">
        <v>2396</v>
      </c>
      <c r="N68" s="641">
        <v>143</v>
      </c>
    </row>
    <row r="69" spans="13:14">
      <c r="M69" s="122" t="s">
        <v>2397</v>
      </c>
      <c r="N69" s="641">
        <v>144</v>
      </c>
    </row>
    <row r="70" spans="13:14">
      <c r="M70" s="122" t="s">
        <v>2398</v>
      </c>
      <c r="N70" s="641">
        <v>145</v>
      </c>
    </row>
    <row r="71" spans="13:14">
      <c r="M71" s="122" t="s">
        <v>2399</v>
      </c>
      <c r="N71" s="641">
        <v>146</v>
      </c>
    </row>
    <row r="72" spans="13:14">
      <c r="M72" s="122" t="s">
        <v>2400</v>
      </c>
      <c r="N72" s="641">
        <v>147</v>
      </c>
    </row>
    <row r="73" spans="13:14">
      <c r="M73" s="122" t="s">
        <v>2401</v>
      </c>
      <c r="N73" s="641">
        <v>148</v>
      </c>
    </row>
    <row r="74" spans="13:14">
      <c r="M74" s="122" t="s">
        <v>1540</v>
      </c>
      <c r="N74" s="641">
        <v>149</v>
      </c>
    </row>
    <row r="75" spans="13:14">
      <c r="M75" s="122" t="s">
        <v>1541</v>
      </c>
      <c r="N75" s="641">
        <v>150</v>
      </c>
    </row>
    <row r="76" spans="13:14">
      <c r="M76" s="122" t="s">
        <v>1542</v>
      </c>
      <c r="N76" s="641">
        <v>151</v>
      </c>
    </row>
    <row r="77" spans="13:14">
      <c r="M77" s="122" t="s">
        <v>1543</v>
      </c>
      <c r="N77" s="641">
        <v>152</v>
      </c>
    </row>
    <row r="78" spans="13:14">
      <c r="M78" s="122" t="s">
        <v>1544</v>
      </c>
      <c r="N78" s="641">
        <v>153</v>
      </c>
    </row>
    <row r="79" spans="13:14">
      <c r="M79" s="122" t="s">
        <v>1545</v>
      </c>
      <c r="N79" s="641">
        <v>154</v>
      </c>
    </row>
    <row r="80" spans="13:14">
      <c r="M80" s="122" t="s">
        <v>1546</v>
      </c>
      <c r="N80" s="641">
        <v>155</v>
      </c>
    </row>
    <row r="81" spans="13:14">
      <c r="M81" s="122" t="s">
        <v>1547</v>
      </c>
      <c r="N81" s="641">
        <v>156</v>
      </c>
    </row>
    <row r="82" spans="13:14">
      <c r="M82" s="122" t="s">
        <v>1548</v>
      </c>
      <c r="N82" s="641">
        <v>157</v>
      </c>
    </row>
    <row r="83" spans="13:14">
      <c r="M83" s="122" t="s">
        <v>948</v>
      </c>
      <c r="N83" s="641">
        <v>158</v>
      </c>
    </row>
    <row r="84" spans="13:14">
      <c r="M84" s="122" t="s">
        <v>949</v>
      </c>
      <c r="N84" s="641">
        <v>159</v>
      </c>
    </row>
    <row r="85" spans="13:14">
      <c r="M85" s="122" t="s">
        <v>950</v>
      </c>
      <c r="N85" s="641">
        <v>160</v>
      </c>
    </row>
    <row r="86" spans="13:14">
      <c r="M86" s="122" t="s">
        <v>951</v>
      </c>
      <c r="N86" s="641">
        <v>161</v>
      </c>
    </row>
    <row r="87" spans="13:14">
      <c r="M87" s="122" t="s">
        <v>952</v>
      </c>
      <c r="N87" s="641">
        <v>162</v>
      </c>
    </row>
    <row r="88" spans="13:14">
      <c r="M88" s="122" t="s">
        <v>953</v>
      </c>
      <c r="N88" s="641">
        <v>163</v>
      </c>
    </row>
    <row r="89" spans="13:14">
      <c r="M89" s="122" t="s">
        <v>4292</v>
      </c>
      <c r="N89" s="641">
        <v>164</v>
      </c>
    </row>
    <row r="90" spans="13:14">
      <c r="M90" s="122" t="s">
        <v>4293</v>
      </c>
      <c r="N90" s="641">
        <v>165</v>
      </c>
    </row>
    <row r="91" spans="13:14">
      <c r="M91" s="122" t="s">
        <v>4294</v>
      </c>
      <c r="N91" s="641">
        <v>166</v>
      </c>
    </row>
    <row r="92" spans="13:14">
      <c r="M92" s="122" t="s">
        <v>4382</v>
      </c>
      <c r="N92" s="641">
        <v>167</v>
      </c>
    </row>
    <row r="93" spans="13:14">
      <c r="M93" s="122" t="s">
        <v>4383</v>
      </c>
      <c r="N93" s="641">
        <v>168</v>
      </c>
    </row>
    <row r="94" spans="13:14">
      <c r="M94" s="122" t="s">
        <v>4384</v>
      </c>
      <c r="N94" s="641">
        <v>169</v>
      </c>
    </row>
    <row r="95" spans="13:14">
      <c r="M95" s="122" t="s">
        <v>4385</v>
      </c>
      <c r="N95" s="641">
        <v>170</v>
      </c>
    </row>
    <row r="96" spans="13:14">
      <c r="M96" s="122" t="s">
        <v>4386</v>
      </c>
      <c r="N96" s="641">
        <v>171</v>
      </c>
    </row>
    <row r="97" spans="13:14">
      <c r="M97" s="122" t="s">
        <v>4387</v>
      </c>
      <c r="N97" s="641">
        <v>172</v>
      </c>
    </row>
    <row r="98" spans="13:14">
      <c r="M98" s="122" t="s">
        <v>1997</v>
      </c>
      <c r="N98" s="641">
        <v>173</v>
      </c>
    </row>
    <row r="99" spans="13:14">
      <c r="M99" s="122" t="s">
        <v>1998</v>
      </c>
      <c r="N99" s="641">
        <v>174</v>
      </c>
    </row>
    <row r="100" spans="13:14">
      <c r="M100" s="122" t="s">
        <v>1999</v>
      </c>
      <c r="N100" s="641">
        <v>175</v>
      </c>
    </row>
    <row r="101" spans="13:14">
      <c r="M101" s="122" t="s">
        <v>2000</v>
      </c>
      <c r="N101" s="641">
        <v>176</v>
      </c>
    </row>
    <row r="102" spans="13:14">
      <c r="M102" s="122" t="s">
        <v>2001</v>
      </c>
      <c r="N102" s="641">
        <v>177</v>
      </c>
    </row>
    <row r="103" spans="13:14">
      <c r="M103" s="122" t="s">
        <v>2002</v>
      </c>
      <c r="N103" s="641">
        <v>178</v>
      </c>
    </row>
    <row r="104" spans="13:14">
      <c r="M104" s="122" t="s">
        <v>2003</v>
      </c>
      <c r="N104" s="641">
        <v>179</v>
      </c>
    </row>
    <row r="105" spans="13:14">
      <c r="M105" s="122" t="s">
        <v>2004</v>
      </c>
      <c r="N105" s="641">
        <v>180</v>
      </c>
    </row>
    <row r="106" spans="13:14">
      <c r="M106" s="122" t="s">
        <v>2005</v>
      </c>
      <c r="N106" s="641">
        <v>181</v>
      </c>
    </row>
    <row r="107" spans="13:14">
      <c r="M107" s="122" t="s">
        <v>2006</v>
      </c>
      <c r="N107" s="641">
        <v>182</v>
      </c>
    </row>
    <row r="108" spans="13:14">
      <c r="M108" s="122" t="s">
        <v>2007</v>
      </c>
      <c r="N108" s="641">
        <v>183</v>
      </c>
    </row>
    <row r="109" spans="13:14">
      <c r="M109" s="122" t="s">
        <v>2008</v>
      </c>
      <c r="N109" s="641">
        <v>184</v>
      </c>
    </row>
    <row r="110" spans="13:14">
      <c r="M110" s="122" t="s">
        <v>2009</v>
      </c>
      <c r="N110" s="641">
        <v>185</v>
      </c>
    </row>
    <row r="111" spans="13:14">
      <c r="M111" s="122" t="s">
        <v>2010</v>
      </c>
      <c r="N111" s="641">
        <v>186</v>
      </c>
    </row>
    <row r="112" spans="13:14">
      <c r="M112" s="122" t="s">
        <v>2011</v>
      </c>
      <c r="N112" s="641">
        <v>187</v>
      </c>
    </row>
    <row r="113" spans="13:14">
      <c r="M113" s="122" t="s">
        <v>2012</v>
      </c>
      <c r="N113" s="641">
        <v>188</v>
      </c>
    </row>
    <row r="114" spans="13:14">
      <c r="M114" s="122" t="s">
        <v>2013</v>
      </c>
      <c r="N114" s="641">
        <v>189</v>
      </c>
    </row>
    <row r="115" spans="13:14">
      <c r="M115" s="122" t="s">
        <v>2014</v>
      </c>
      <c r="N115" s="641">
        <v>190</v>
      </c>
    </row>
    <row r="116" spans="13:14">
      <c r="M116" s="122" t="s">
        <v>2015</v>
      </c>
      <c r="N116" s="641">
        <v>191</v>
      </c>
    </row>
    <row r="117" spans="13:14">
      <c r="M117" s="122" t="s">
        <v>2016</v>
      </c>
      <c r="N117" s="641">
        <v>192</v>
      </c>
    </row>
    <row r="118" spans="13:14">
      <c r="M118" s="122" t="s">
        <v>2017</v>
      </c>
      <c r="N118" s="641">
        <v>193</v>
      </c>
    </row>
    <row r="119" spans="13:14">
      <c r="M119" s="122" t="s">
        <v>2018</v>
      </c>
      <c r="N119" s="641">
        <v>194</v>
      </c>
    </row>
    <row r="120" spans="13:14">
      <c r="M120" s="122" t="s">
        <v>2019</v>
      </c>
      <c r="N120" s="641">
        <v>195</v>
      </c>
    </row>
    <row r="121" spans="13:14">
      <c r="M121" s="122" t="s">
        <v>2020</v>
      </c>
      <c r="N121" s="641">
        <v>196</v>
      </c>
    </row>
    <row r="122" spans="13:14">
      <c r="M122" s="122" t="s">
        <v>2021</v>
      </c>
      <c r="N122" s="641">
        <v>197</v>
      </c>
    </row>
    <row r="123" spans="13:14">
      <c r="M123" s="122" t="s">
        <v>2022</v>
      </c>
      <c r="N123" s="641">
        <v>198</v>
      </c>
    </row>
    <row r="124" spans="13:14">
      <c r="M124" s="122" t="s">
        <v>2023</v>
      </c>
      <c r="N124" s="641">
        <v>199</v>
      </c>
    </row>
    <row r="125" spans="13:14">
      <c r="M125" s="122" t="s">
        <v>2024</v>
      </c>
      <c r="N125" s="641">
        <v>200</v>
      </c>
    </row>
    <row r="126" spans="13:14">
      <c r="M126" s="122" t="s">
        <v>2025</v>
      </c>
      <c r="N126" s="641">
        <v>201</v>
      </c>
    </row>
    <row r="127" spans="13:14">
      <c r="M127" s="122" t="s">
        <v>2026</v>
      </c>
      <c r="N127" s="641">
        <v>202</v>
      </c>
    </row>
    <row r="128" spans="13:14">
      <c r="M128" s="122" t="s">
        <v>2027</v>
      </c>
      <c r="N128" s="641">
        <v>203</v>
      </c>
    </row>
  </sheetData>
  <sheetProtection password="C620" sheet="1"/>
  <phoneticPr fontId="19"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S138"/>
  <sheetViews>
    <sheetView topLeftCell="A11" workbookViewId="0">
      <selection activeCell="N138" sqref="N138"/>
    </sheetView>
  </sheetViews>
  <sheetFormatPr defaultColWidth="11.42578125" defaultRowHeight="12.75"/>
  <sheetData>
    <row r="1" spans="1:201">
      <c r="F1" t="str">
        <f>IF(F2=0,"",F2)</f>
        <v>&lt;select from list&gt;</v>
      </c>
      <c r="G1" t="str">
        <f>IF(G2=0,"",G2)</f>
        <v>Antigua &amp; Deps</v>
      </c>
      <c r="H1" t="str">
        <f t="shared" ref="H1:BS1" si="0">IF(H2=0,"",H2)</f>
        <v>Bahamas</v>
      </c>
      <c r="I1" t="str">
        <f t="shared" si="0"/>
        <v>Canada</v>
      </c>
      <c r="J1" t="str">
        <f t="shared" si="0"/>
        <v>Cyprus</v>
      </c>
      <c r="K1" t="str">
        <f t="shared" si="0"/>
        <v>Denmark</v>
      </c>
      <c r="L1" t="str">
        <f t="shared" si="0"/>
        <v>Dominican Republic</v>
      </c>
      <c r="M1" t="str">
        <f t="shared" si="0"/>
        <v>Finland</v>
      </c>
      <c r="N1" t="str">
        <f t="shared" si="0"/>
        <v>Germany</v>
      </c>
      <c r="O1" t="str">
        <f t="shared" si="0"/>
        <v>Iceland</v>
      </c>
      <c r="P1" t="str">
        <f t="shared" si="0"/>
        <v>Ireland</v>
      </c>
      <c r="Q1" t="str">
        <f t="shared" si="0"/>
        <v>Israel</v>
      </c>
      <c r="R1" t="str">
        <f t="shared" si="0"/>
        <v>Japan</v>
      </c>
      <c r="S1" t="str">
        <f t="shared" si="0"/>
        <v>Korea South</v>
      </c>
      <c r="T1" t="str">
        <f t="shared" si="0"/>
        <v>Kuwait</v>
      </c>
      <c r="U1" t="str">
        <f t="shared" si="0"/>
        <v>Malta</v>
      </c>
      <c r="V1" t="str">
        <f t="shared" si="0"/>
        <v>Netherlands</v>
      </c>
      <c r="W1" t="str">
        <f t="shared" si="0"/>
        <v>Norway</v>
      </c>
      <c r="X1" t="str">
        <f t="shared" si="0"/>
        <v>Sweden</v>
      </c>
      <c r="Y1" t="str">
        <f t="shared" si="0"/>
        <v>Taiwan</v>
      </c>
      <c r="Z1" t="str">
        <f t="shared" si="0"/>
        <v>United Kingdom</v>
      </c>
      <c r="AA1" t="str">
        <f t="shared" si="0"/>
        <v>United States</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Application!C360</f>
        <v>2</v>
      </c>
      <c r="B2" t="str">
        <f>B11</f>
        <v>&lt;select from list&gt;</v>
      </c>
      <c r="F2" t="str">
        <f>LOOKUP($A$2,$A$3:$A$8,F3:F8)</f>
        <v>&lt;select from list&gt;</v>
      </c>
      <c r="G2" t="str">
        <f t="shared" ref="G2:BR2" si="2">LOOKUP($A$2,$A$3:$A$8,G3:G8)</f>
        <v>Antigua &amp; Deps</v>
      </c>
      <c r="H2" t="str">
        <f t="shared" si="2"/>
        <v>Bahamas</v>
      </c>
      <c r="I2" t="str">
        <f t="shared" si="2"/>
        <v>Canada</v>
      </c>
      <c r="J2" t="str">
        <f t="shared" si="2"/>
        <v>Cyprus</v>
      </c>
      <c r="K2" t="str">
        <f t="shared" si="2"/>
        <v>Denmark</v>
      </c>
      <c r="L2" t="str">
        <f t="shared" si="2"/>
        <v>Dominican Republic</v>
      </c>
      <c r="M2" t="str">
        <f t="shared" si="2"/>
        <v>Finland</v>
      </c>
      <c r="N2" t="str">
        <f t="shared" si="2"/>
        <v>Germany</v>
      </c>
      <c r="O2" t="str">
        <f t="shared" si="2"/>
        <v>Iceland</v>
      </c>
      <c r="P2" t="str">
        <f t="shared" si="2"/>
        <v>Ireland</v>
      </c>
      <c r="Q2" t="str">
        <f t="shared" si="2"/>
        <v>Israel</v>
      </c>
      <c r="R2" t="str">
        <f t="shared" si="2"/>
        <v>Japan</v>
      </c>
      <c r="S2" t="str">
        <f t="shared" si="2"/>
        <v>Korea South</v>
      </c>
      <c r="T2" t="str">
        <f t="shared" si="2"/>
        <v>Kuwait</v>
      </c>
      <c r="U2" t="str">
        <f t="shared" si="2"/>
        <v>Malta</v>
      </c>
      <c r="V2" t="str">
        <f t="shared" si="2"/>
        <v>Netherlands</v>
      </c>
      <c r="W2" t="str">
        <f t="shared" si="2"/>
        <v>Norway</v>
      </c>
      <c r="X2" t="str">
        <f t="shared" si="2"/>
        <v>Sweden</v>
      </c>
      <c r="Y2" t="str">
        <f t="shared" si="2"/>
        <v>Taiwan</v>
      </c>
      <c r="Z2" t="str">
        <f t="shared" si="2"/>
        <v>United Kingdom</v>
      </c>
      <c r="AA2" t="str">
        <f t="shared" si="2"/>
        <v>United States</v>
      </c>
      <c r="AB2">
        <f t="shared" si="2"/>
        <v>0</v>
      </c>
      <c r="AC2">
        <f t="shared" si="2"/>
        <v>0</v>
      </c>
      <c r="AD2">
        <f t="shared" si="2"/>
        <v>0</v>
      </c>
      <c r="AE2">
        <f t="shared" si="2"/>
        <v>0</v>
      </c>
      <c r="AF2">
        <f t="shared" si="2"/>
        <v>0</v>
      </c>
      <c r="AG2">
        <f t="shared" si="2"/>
        <v>0</v>
      </c>
      <c r="AH2">
        <f t="shared" si="2"/>
        <v>0</v>
      </c>
      <c r="AI2">
        <f t="shared" si="2"/>
        <v>0</v>
      </c>
      <c r="AJ2">
        <f t="shared" si="2"/>
        <v>0</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4057</v>
      </c>
    </row>
    <row r="4" spans="1:201">
      <c r="A4">
        <v>2</v>
      </c>
      <c r="B4" s="48" t="s">
        <v>4303</v>
      </c>
      <c r="F4" t="s">
        <v>4057</v>
      </c>
      <c r="G4" t="s">
        <v>2784</v>
      </c>
      <c r="H4" t="s">
        <v>2788</v>
      </c>
      <c r="I4" t="s">
        <v>2481</v>
      </c>
      <c r="J4" t="s">
        <v>2490</v>
      </c>
      <c r="K4" t="s">
        <v>2483</v>
      </c>
      <c r="L4" t="s">
        <v>2798</v>
      </c>
      <c r="M4" t="s">
        <v>2484</v>
      </c>
      <c r="N4" t="s">
        <v>2485</v>
      </c>
      <c r="O4" t="s">
        <v>2489</v>
      </c>
      <c r="P4" s="544" t="s">
        <v>2238</v>
      </c>
      <c r="Q4" t="s">
        <v>2491</v>
      </c>
      <c r="R4" t="s">
        <v>2493</v>
      </c>
      <c r="S4" t="s">
        <v>2809</v>
      </c>
      <c r="T4" t="s">
        <v>2494</v>
      </c>
      <c r="U4" t="s">
        <v>2492</v>
      </c>
      <c r="V4" t="s">
        <v>2486</v>
      </c>
      <c r="W4" t="s">
        <v>2487</v>
      </c>
      <c r="X4" t="s">
        <v>2488</v>
      </c>
      <c r="Y4" s="544" t="s">
        <v>2011</v>
      </c>
      <c r="Z4" t="s">
        <v>4356</v>
      </c>
      <c r="AA4" t="s">
        <v>4358</v>
      </c>
    </row>
    <row r="5" spans="1:201">
      <c r="A5">
        <v>3</v>
      </c>
      <c r="B5" s="48" t="s">
        <v>2028</v>
      </c>
      <c r="F5" t="s">
        <v>3727</v>
      </c>
      <c r="G5" t="s">
        <v>2785</v>
      </c>
      <c r="H5" t="s">
        <v>3414</v>
      </c>
      <c r="I5" t="s">
        <v>2791</v>
      </c>
      <c r="J5" t="s">
        <v>2559</v>
      </c>
      <c r="K5" s="544" t="s">
        <v>3412</v>
      </c>
      <c r="L5" t="s">
        <v>231</v>
      </c>
      <c r="M5" t="s">
        <v>2794</v>
      </c>
      <c r="N5" t="s">
        <v>235</v>
      </c>
      <c r="O5" t="s">
        <v>239</v>
      </c>
      <c r="P5" t="s">
        <v>243</v>
      </c>
      <c r="Q5" t="s">
        <v>2802</v>
      </c>
      <c r="R5" t="s">
        <v>2233</v>
      </c>
      <c r="S5" t="s">
        <v>2806</v>
      </c>
      <c r="T5" t="s">
        <v>2242</v>
      </c>
      <c r="U5" t="s">
        <v>2244</v>
      </c>
      <c r="V5" t="s">
        <v>2247</v>
      </c>
      <c r="W5" t="s">
        <v>2249</v>
      </c>
      <c r="X5" s="544" t="s">
        <v>2795</v>
      </c>
      <c r="Y5" t="s">
        <v>2251</v>
      </c>
      <c r="Z5" s="544" t="s">
        <v>572</v>
      </c>
      <c r="AA5" t="s">
        <v>3980</v>
      </c>
      <c r="AB5" t="s">
        <v>3982</v>
      </c>
      <c r="AC5" t="s">
        <v>3984</v>
      </c>
      <c r="AD5" t="s">
        <v>3986</v>
      </c>
      <c r="AE5" t="s">
        <v>3991</v>
      </c>
      <c r="AF5" t="s">
        <v>4361</v>
      </c>
      <c r="AG5" t="s">
        <v>3995</v>
      </c>
      <c r="AH5" t="s">
        <v>4364</v>
      </c>
      <c r="AI5" t="s">
        <v>4001</v>
      </c>
      <c r="AJ5" t="s">
        <v>4367</v>
      </c>
      <c r="AK5" t="s">
        <v>721</v>
      </c>
    </row>
    <row r="6" spans="1:201">
      <c r="A6">
        <v>4</v>
      </c>
      <c r="B6" s="48" t="s">
        <v>4304</v>
      </c>
      <c r="F6" t="s">
        <v>4057</v>
      </c>
      <c r="G6" t="s">
        <v>2786</v>
      </c>
      <c r="H6" t="s">
        <v>2789</v>
      </c>
      <c r="I6" t="s">
        <v>267</v>
      </c>
      <c r="J6" t="s">
        <v>248</v>
      </c>
      <c r="K6" s="544" t="s">
        <v>2379</v>
      </c>
      <c r="L6" t="s">
        <v>252</v>
      </c>
      <c r="M6" t="s">
        <v>240</v>
      </c>
      <c r="N6" t="s">
        <v>2243</v>
      </c>
      <c r="O6" t="s">
        <v>257</v>
      </c>
      <c r="P6" t="s">
        <v>2245</v>
      </c>
      <c r="Q6" t="s">
        <v>260</v>
      </c>
      <c r="R6" t="s">
        <v>244</v>
      </c>
      <c r="S6" t="s">
        <v>3890</v>
      </c>
      <c r="T6" t="s">
        <v>264</v>
      </c>
      <c r="U6" t="s">
        <v>2558</v>
      </c>
      <c r="V6" t="s">
        <v>2497</v>
      </c>
    </row>
    <row r="7" spans="1:201">
      <c r="A7">
        <v>5</v>
      </c>
      <c r="B7" s="48" t="s">
        <v>2029</v>
      </c>
      <c r="F7" t="s">
        <v>4057</v>
      </c>
      <c r="G7" t="s">
        <v>3406</v>
      </c>
      <c r="H7" t="s">
        <v>3412</v>
      </c>
      <c r="I7" t="s">
        <v>2792</v>
      </c>
      <c r="J7" s="544" t="s">
        <v>165</v>
      </c>
      <c r="K7" t="s">
        <v>237</v>
      </c>
      <c r="L7" t="s">
        <v>241</v>
      </c>
      <c r="M7" s="544" t="s">
        <v>4685</v>
      </c>
      <c r="N7" t="s">
        <v>253</v>
      </c>
    </row>
    <row r="8" spans="1:201">
      <c r="A8">
        <v>6</v>
      </c>
      <c r="B8" s="48" t="s">
        <v>2030</v>
      </c>
      <c r="F8" t="s">
        <v>4057</v>
      </c>
      <c r="G8" t="s">
        <v>2787</v>
      </c>
      <c r="H8" t="s">
        <v>2790</v>
      </c>
      <c r="I8" t="s">
        <v>2793</v>
      </c>
      <c r="J8" t="s">
        <v>2796</v>
      </c>
      <c r="K8" t="s">
        <v>2797</v>
      </c>
      <c r="L8" t="s">
        <v>2799</v>
      </c>
      <c r="M8" t="s">
        <v>2800</v>
      </c>
      <c r="N8" t="s">
        <v>2801</v>
      </c>
      <c r="O8" t="s">
        <v>2803</v>
      </c>
      <c r="P8" t="s">
        <v>2805</v>
      </c>
      <c r="Q8" t="s">
        <v>2807</v>
      </c>
      <c r="R8" t="s">
        <v>2808</v>
      </c>
      <c r="S8" t="s">
        <v>2810</v>
      </c>
      <c r="T8" t="s">
        <v>2560</v>
      </c>
      <c r="U8" t="s">
        <v>2561</v>
      </c>
      <c r="V8" t="s">
        <v>2562</v>
      </c>
      <c r="W8" t="s">
        <v>2563</v>
      </c>
      <c r="X8" t="s">
        <v>4357</v>
      </c>
      <c r="Y8" t="s">
        <v>4359</v>
      </c>
      <c r="Z8" t="s">
        <v>4360</v>
      </c>
      <c r="AA8" t="s">
        <v>4362</v>
      </c>
      <c r="AB8" t="s">
        <v>4363</v>
      </c>
      <c r="AC8" t="s">
        <v>4365</v>
      </c>
      <c r="AD8" t="s">
        <v>4366</v>
      </c>
      <c r="AE8" t="s">
        <v>4368</v>
      </c>
      <c r="AF8" t="s">
        <v>165</v>
      </c>
      <c r="AG8" t="s">
        <v>4369</v>
      </c>
      <c r="AH8" t="s">
        <v>4370</v>
      </c>
      <c r="AI8" t="s">
        <v>4371</v>
      </c>
      <c r="AJ8" t="s">
        <v>2360</v>
      </c>
      <c r="AK8" t="s">
        <v>2361</v>
      </c>
      <c r="AL8" t="s">
        <v>2362</v>
      </c>
      <c r="AM8" t="s">
        <v>2363</v>
      </c>
      <c r="AN8" t="s">
        <v>2364</v>
      </c>
      <c r="AO8" t="s">
        <v>2365</v>
      </c>
      <c r="AP8" t="s">
        <v>2366</v>
      </c>
      <c r="AQ8" t="s">
        <v>2367</v>
      </c>
      <c r="AR8" t="s">
        <v>2368</v>
      </c>
      <c r="AS8" t="s">
        <v>2369</v>
      </c>
      <c r="AT8" t="s">
        <v>2370</v>
      </c>
      <c r="AU8" t="s">
        <v>2371</v>
      </c>
      <c r="AV8" t="s">
        <v>2372</v>
      </c>
      <c r="AW8" t="s">
        <v>2373</v>
      </c>
      <c r="AX8" t="s">
        <v>2374</v>
      </c>
      <c r="AY8" t="s">
        <v>2375</v>
      </c>
      <c r="AZ8" t="s">
        <v>2376</v>
      </c>
      <c r="BA8" t="s">
        <v>2377</v>
      </c>
      <c r="BB8" t="s">
        <v>2378</v>
      </c>
      <c r="BC8" t="s">
        <v>2379</v>
      </c>
      <c r="BD8" t="s">
        <v>2380</v>
      </c>
      <c r="BE8" t="s">
        <v>2381</v>
      </c>
      <c r="BF8" t="s">
        <v>2382</v>
      </c>
      <c r="BG8" t="s">
        <v>2383</v>
      </c>
      <c r="BH8" t="s">
        <v>2384</v>
      </c>
      <c r="BI8" t="s">
        <v>2385</v>
      </c>
      <c r="BJ8" t="s">
        <v>2386</v>
      </c>
      <c r="BK8" t="s">
        <v>2387</v>
      </c>
      <c r="BL8" t="s">
        <v>2388</v>
      </c>
      <c r="BM8" t="s">
        <v>2389</v>
      </c>
      <c r="BN8" t="s">
        <v>2390</v>
      </c>
      <c r="BO8" t="s">
        <v>2391</v>
      </c>
      <c r="BP8" t="s">
        <v>2392</v>
      </c>
      <c r="BQ8" t="s">
        <v>2393</v>
      </c>
      <c r="BR8" t="s">
        <v>2394</v>
      </c>
      <c r="BS8" t="s">
        <v>2395</v>
      </c>
      <c r="BT8" t="s">
        <v>2396</v>
      </c>
      <c r="BU8" t="s">
        <v>2397</v>
      </c>
      <c r="BV8" t="s">
        <v>2398</v>
      </c>
      <c r="BW8" t="s">
        <v>2399</v>
      </c>
      <c r="BX8" t="s">
        <v>2400</v>
      </c>
      <c r="BY8" t="s">
        <v>2401</v>
      </c>
      <c r="BZ8" t="s">
        <v>1540</v>
      </c>
      <c r="CA8" t="s">
        <v>1541</v>
      </c>
      <c r="CB8" t="s">
        <v>1542</v>
      </c>
      <c r="CC8" t="s">
        <v>1543</v>
      </c>
      <c r="CD8" t="s">
        <v>1544</v>
      </c>
      <c r="CE8" t="s">
        <v>1545</v>
      </c>
      <c r="CF8" t="s">
        <v>1546</v>
      </c>
      <c r="CG8" t="s">
        <v>1547</v>
      </c>
      <c r="CH8" t="s">
        <v>1548</v>
      </c>
      <c r="CI8" t="s">
        <v>948</v>
      </c>
      <c r="CJ8" t="s">
        <v>949</v>
      </c>
      <c r="CK8" t="s">
        <v>950</v>
      </c>
      <c r="CL8" t="s">
        <v>951</v>
      </c>
      <c r="CM8" t="s">
        <v>952</v>
      </c>
      <c r="CN8" t="s">
        <v>953</v>
      </c>
      <c r="CO8" t="s">
        <v>4292</v>
      </c>
      <c r="CP8" t="s">
        <v>4293</v>
      </c>
      <c r="CQ8" t="s">
        <v>4294</v>
      </c>
      <c r="CR8" t="s">
        <v>4382</v>
      </c>
      <c r="CS8" t="s">
        <v>4383</v>
      </c>
      <c r="CT8" t="s">
        <v>4384</v>
      </c>
      <c r="CU8" t="s">
        <v>4385</v>
      </c>
      <c r="CV8" t="s">
        <v>4386</v>
      </c>
      <c r="CW8" t="s">
        <v>4387</v>
      </c>
      <c r="CX8" t="s">
        <v>1997</v>
      </c>
      <c r="CY8" t="s">
        <v>1998</v>
      </c>
      <c r="CZ8" t="s">
        <v>1999</v>
      </c>
      <c r="DA8" t="s">
        <v>2000</v>
      </c>
      <c r="DB8" t="s">
        <v>2001</v>
      </c>
      <c r="DC8" t="s">
        <v>2002</v>
      </c>
      <c r="DD8" t="s">
        <v>2003</v>
      </c>
      <c r="DE8" t="s">
        <v>2004</v>
      </c>
      <c r="DF8" t="s">
        <v>2005</v>
      </c>
      <c r="DG8" t="s">
        <v>2006</v>
      </c>
      <c r="DH8" t="s">
        <v>2007</v>
      </c>
      <c r="DI8" t="s">
        <v>2008</v>
      </c>
      <c r="DJ8" t="s">
        <v>2009</v>
      </c>
      <c r="DK8" t="s">
        <v>2010</v>
      </c>
      <c r="DL8" t="s">
        <v>2011</v>
      </c>
      <c r="DM8" t="s">
        <v>2012</v>
      </c>
      <c r="DN8" t="s">
        <v>2013</v>
      </c>
      <c r="DO8" t="s">
        <v>2014</v>
      </c>
      <c r="DP8" t="s">
        <v>2015</v>
      </c>
      <c r="DQ8" t="s">
        <v>2016</v>
      </c>
      <c r="DR8" t="s">
        <v>2017</v>
      </c>
      <c r="DS8" t="s">
        <v>2018</v>
      </c>
      <c r="DT8" t="s">
        <v>2019</v>
      </c>
      <c r="DU8" t="s">
        <v>2020</v>
      </c>
      <c r="DV8" t="s">
        <v>2021</v>
      </c>
      <c r="DW8" t="s">
        <v>2022</v>
      </c>
      <c r="DX8" t="s">
        <v>2023</v>
      </c>
      <c r="DY8" t="s">
        <v>2024</v>
      </c>
      <c r="DZ8" t="s">
        <v>2025</v>
      </c>
      <c r="EA8" t="s">
        <v>2026</v>
      </c>
      <c r="EB8" t="s">
        <v>2027</v>
      </c>
    </row>
    <row r="11" spans="1:201">
      <c r="A11" t="str">
        <f>F1</f>
        <v>&lt;select from list&gt;</v>
      </c>
      <c r="B11" t="str">
        <f>'Lang Drops'!D1</f>
        <v>&lt;select from list&gt;</v>
      </c>
      <c r="E11" t="str">
        <f>B11</f>
        <v>&lt;select from list&gt;</v>
      </c>
      <c r="H11" t="str">
        <f>E11</f>
        <v>&lt;select from list&gt;</v>
      </c>
      <c r="K11" t="str">
        <f>E11</f>
        <v>&lt;select from list&gt;</v>
      </c>
      <c r="N11" t="str">
        <f>K11</f>
        <v>&lt;select from list&gt;</v>
      </c>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22"/>
      <c r="DF11" s="122"/>
      <c r="DG11" s="124"/>
      <c r="DH11" s="122"/>
      <c r="DI11" s="122"/>
      <c r="DJ11" s="122"/>
      <c r="DK11" s="122"/>
      <c r="DL11" s="122"/>
      <c r="DM11" s="122"/>
      <c r="DN11" s="122"/>
      <c r="DO11" s="122"/>
      <c r="DP11" s="122"/>
      <c r="DQ11" s="122"/>
      <c r="DR11" s="122"/>
      <c r="DS11" s="122"/>
      <c r="DT11" s="122"/>
      <c r="DU11" s="122"/>
      <c r="DV11" s="122"/>
      <c r="DW11" s="122"/>
      <c r="DX11" s="122"/>
      <c r="DY11" s="122"/>
      <c r="DZ11" s="122"/>
      <c r="EA11" s="122"/>
      <c r="EB11" s="122"/>
      <c r="EC11" s="122"/>
      <c r="ED11" s="122"/>
      <c r="EE11" s="122"/>
      <c r="EF11" s="122"/>
      <c r="EG11" s="122"/>
      <c r="EH11" s="122"/>
      <c r="EI11" s="122"/>
      <c r="EJ11" s="122"/>
      <c r="EK11" s="122"/>
      <c r="EL11" s="122"/>
      <c r="EM11" s="122"/>
      <c r="EN11" s="122"/>
      <c r="EO11" s="122"/>
      <c r="EP11" s="122"/>
      <c r="EQ11" s="122"/>
      <c r="ER11" s="122"/>
      <c r="ES11" s="122"/>
      <c r="ET11" s="122"/>
      <c r="EU11" s="122"/>
      <c r="EV11" s="122"/>
      <c r="EW11" s="122"/>
      <c r="EX11" s="122"/>
      <c r="EY11" s="122"/>
      <c r="EZ11" s="122"/>
      <c r="FA11" s="122"/>
      <c r="FB11" s="122"/>
      <c r="FC11" s="122"/>
      <c r="FD11" s="122"/>
      <c r="FE11" s="122"/>
      <c r="FF11" s="122"/>
      <c r="FG11" s="122"/>
      <c r="FH11" s="122"/>
      <c r="FI11" s="122"/>
      <c r="FJ11" s="122"/>
      <c r="FK11" s="122"/>
      <c r="FL11" s="122"/>
      <c r="FM11" s="122"/>
      <c r="FN11" s="122"/>
      <c r="FO11" s="122"/>
      <c r="FP11" s="122"/>
      <c r="FQ11" s="122"/>
      <c r="FR11" s="122"/>
      <c r="FS11" s="122"/>
      <c r="FT11" s="122"/>
      <c r="FU11" s="122"/>
      <c r="FV11" s="122"/>
      <c r="FW11" s="122"/>
      <c r="FX11" s="122"/>
      <c r="FY11" s="122"/>
      <c r="FZ11" s="122"/>
      <c r="GA11" s="122"/>
      <c r="GB11" s="122"/>
      <c r="GC11" s="122"/>
      <c r="GD11" s="122"/>
      <c r="GE11" s="122"/>
      <c r="GF11" s="122"/>
      <c r="GG11" s="122"/>
      <c r="GH11" s="122"/>
      <c r="GI11" s="122"/>
      <c r="GJ11" s="122"/>
      <c r="GK11" s="122"/>
      <c r="GL11" s="122"/>
      <c r="GM11" s="122"/>
      <c r="GN11" s="122"/>
      <c r="GO11" s="122"/>
      <c r="GP11" s="122"/>
      <c r="GQ11" s="122"/>
      <c r="GR11" s="122"/>
      <c r="GS11" s="122"/>
    </row>
    <row r="12" spans="1:201">
      <c r="A12" t="str">
        <f>G1</f>
        <v>Antigua &amp; Deps</v>
      </c>
      <c r="B12" s="122" t="s">
        <v>2784</v>
      </c>
      <c r="C12">
        <v>1</v>
      </c>
      <c r="E12" s="122" t="s">
        <v>2785</v>
      </c>
      <c r="F12">
        <v>22</v>
      </c>
      <c r="H12" s="122" t="s">
        <v>2786</v>
      </c>
      <c r="I12">
        <v>52</v>
      </c>
      <c r="K12" s="122" t="s">
        <v>3406</v>
      </c>
      <c r="L12">
        <v>68</v>
      </c>
      <c r="N12" s="122" t="s">
        <v>2787</v>
      </c>
      <c r="O12">
        <v>77</v>
      </c>
    </row>
    <row r="13" spans="1:201">
      <c r="A13" t="str">
        <f>H1</f>
        <v>Bahamas</v>
      </c>
      <c r="B13" s="122" t="s">
        <v>2788</v>
      </c>
      <c r="C13">
        <v>2</v>
      </c>
      <c r="E13" s="122" t="s">
        <v>3414</v>
      </c>
      <c r="F13">
        <v>23</v>
      </c>
      <c r="H13" s="122" t="s">
        <v>2789</v>
      </c>
      <c r="I13">
        <v>53</v>
      </c>
      <c r="K13" s="122" t="s">
        <v>3412</v>
      </c>
      <c r="L13">
        <v>69</v>
      </c>
      <c r="N13" s="122" t="s">
        <v>2790</v>
      </c>
      <c r="O13">
        <v>78</v>
      </c>
    </row>
    <row r="14" spans="1:201">
      <c r="A14" t="str">
        <f>I1</f>
        <v>Canada</v>
      </c>
      <c r="B14" s="122" t="s">
        <v>2481</v>
      </c>
      <c r="C14">
        <v>3</v>
      </c>
      <c r="E14" s="122" t="s">
        <v>2791</v>
      </c>
      <c r="F14">
        <v>24</v>
      </c>
      <c r="H14" s="122" t="s">
        <v>267</v>
      </c>
      <c r="I14">
        <v>54</v>
      </c>
      <c r="K14" s="122" t="s">
        <v>2792</v>
      </c>
      <c r="L14">
        <v>70</v>
      </c>
      <c r="N14" s="122" t="s">
        <v>2793</v>
      </c>
      <c r="O14">
        <v>79</v>
      </c>
    </row>
    <row r="15" spans="1:201">
      <c r="A15" t="str">
        <f>J1</f>
        <v>Cyprus</v>
      </c>
      <c r="B15" s="122" t="s">
        <v>2490</v>
      </c>
      <c r="C15">
        <v>4</v>
      </c>
      <c r="E15" s="122" t="s">
        <v>3412</v>
      </c>
      <c r="F15">
        <v>25</v>
      </c>
      <c r="H15" s="122" t="s">
        <v>248</v>
      </c>
      <c r="I15">
        <v>55</v>
      </c>
      <c r="K15" s="122" t="s">
        <v>573</v>
      </c>
      <c r="L15">
        <v>71</v>
      </c>
      <c r="N15" s="122" t="s">
        <v>2796</v>
      </c>
      <c r="O15">
        <v>80</v>
      </c>
    </row>
    <row r="16" spans="1:201">
      <c r="A16" t="str">
        <f>K1</f>
        <v>Denmark</v>
      </c>
      <c r="B16" s="122" t="s">
        <v>2483</v>
      </c>
      <c r="C16">
        <v>5</v>
      </c>
      <c r="E16" s="122" t="s">
        <v>231</v>
      </c>
      <c r="F16">
        <v>26</v>
      </c>
      <c r="H16" s="122" t="s">
        <v>2379</v>
      </c>
      <c r="I16">
        <v>56</v>
      </c>
      <c r="K16" s="122" t="s">
        <v>165</v>
      </c>
      <c r="L16">
        <v>72</v>
      </c>
      <c r="N16" s="122" t="s">
        <v>2797</v>
      </c>
      <c r="O16">
        <v>81</v>
      </c>
    </row>
    <row r="17" spans="1:15">
      <c r="A17" t="str">
        <f>L1</f>
        <v>Dominican Republic</v>
      </c>
      <c r="B17" s="122" t="s">
        <v>2798</v>
      </c>
      <c r="C17">
        <v>6</v>
      </c>
      <c r="E17" s="122" t="s">
        <v>2794</v>
      </c>
      <c r="F17">
        <v>27</v>
      </c>
      <c r="H17" s="122" t="s">
        <v>252</v>
      </c>
      <c r="I17">
        <v>57</v>
      </c>
      <c r="K17" s="122" t="s">
        <v>237</v>
      </c>
      <c r="L17">
        <v>73</v>
      </c>
      <c r="N17" s="122" t="s">
        <v>2799</v>
      </c>
      <c r="O17">
        <v>82</v>
      </c>
    </row>
    <row r="18" spans="1:15">
      <c r="A18" t="str">
        <f>M1</f>
        <v>Finland</v>
      </c>
      <c r="B18" s="122" t="s">
        <v>2484</v>
      </c>
      <c r="C18">
        <v>7</v>
      </c>
      <c r="E18" s="122" t="s">
        <v>235</v>
      </c>
      <c r="F18">
        <v>28</v>
      </c>
      <c r="H18" s="122" t="s">
        <v>240</v>
      </c>
      <c r="I18">
        <v>58</v>
      </c>
      <c r="K18" s="122" t="s">
        <v>241</v>
      </c>
      <c r="L18">
        <v>74</v>
      </c>
      <c r="N18" s="122" t="s">
        <v>2800</v>
      </c>
      <c r="O18">
        <v>83</v>
      </c>
    </row>
    <row r="19" spans="1:15">
      <c r="A19" t="str">
        <f>N1</f>
        <v>Germany</v>
      </c>
      <c r="B19" s="122" t="s">
        <v>2485</v>
      </c>
      <c r="C19">
        <v>8</v>
      </c>
      <c r="E19" s="122" t="s">
        <v>239</v>
      </c>
      <c r="F19">
        <v>29</v>
      </c>
      <c r="H19" s="122" t="s">
        <v>2243</v>
      </c>
      <c r="I19">
        <v>59</v>
      </c>
      <c r="K19" s="122" t="s">
        <v>4685</v>
      </c>
      <c r="L19">
        <v>75</v>
      </c>
      <c r="N19" s="122" t="s">
        <v>2801</v>
      </c>
      <c r="O19">
        <v>84</v>
      </c>
    </row>
    <row r="20" spans="1:15">
      <c r="A20" t="str">
        <f>O1</f>
        <v>Iceland</v>
      </c>
      <c r="B20" s="122" t="s">
        <v>2489</v>
      </c>
      <c r="C20">
        <v>9</v>
      </c>
      <c r="E20" s="122" t="s">
        <v>243</v>
      </c>
      <c r="F20">
        <v>30</v>
      </c>
      <c r="H20" s="122" t="s">
        <v>257</v>
      </c>
      <c r="I20">
        <v>60</v>
      </c>
      <c r="K20" s="122" t="s">
        <v>253</v>
      </c>
      <c r="L20">
        <v>76</v>
      </c>
      <c r="N20" s="122" t="s">
        <v>2803</v>
      </c>
      <c r="O20">
        <v>85</v>
      </c>
    </row>
    <row r="21" spans="1:15">
      <c r="A21" t="str">
        <f>P1</f>
        <v>Ireland</v>
      </c>
      <c r="B21" s="122" t="s">
        <v>2238</v>
      </c>
      <c r="C21">
        <v>10</v>
      </c>
      <c r="E21" s="122" t="s">
        <v>2802</v>
      </c>
      <c r="F21">
        <v>31</v>
      </c>
      <c r="H21" s="122" t="s">
        <v>2245</v>
      </c>
      <c r="I21">
        <v>61</v>
      </c>
      <c r="N21" s="122" t="s">
        <v>2805</v>
      </c>
      <c r="O21">
        <v>86</v>
      </c>
    </row>
    <row r="22" spans="1:15">
      <c r="A22" t="str">
        <f>Q1</f>
        <v>Israel</v>
      </c>
      <c r="B22" s="122" t="s">
        <v>2491</v>
      </c>
      <c r="C22">
        <v>11</v>
      </c>
      <c r="E22" s="122" t="s">
        <v>2233</v>
      </c>
      <c r="F22">
        <v>32</v>
      </c>
      <c r="H22" s="122" t="s">
        <v>260</v>
      </c>
      <c r="I22">
        <v>62</v>
      </c>
      <c r="N22" s="122" t="s">
        <v>2807</v>
      </c>
      <c r="O22">
        <v>87</v>
      </c>
    </row>
    <row r="23" spans="1:15">
      <c r="A23" t="str">
        <f>R1</f>
        <v>Japan</v>
      </c>
      <c r="B23" s="122" t="s">
        <v>2493</v>
      </c>
      <c r="C23">
        <v>12</v>
      </c>
      <c r="E23" s="122" t="s">
        <v>2806</v>
      </c>
      <c r="F23">
        <v>33</v>
      </c>
      <c r="H23" s="122" t="s">
        <v>244</v>
      </c>
      <c r="I23">
        <v>63</v>
      </c>
      <c r="N23" s="122" t="s">
        <v>2808</v>
      </c>
      <c r="O23">
        <v>88</v>
      </c>
    </row>
    <row r="24" spans="1:15">
      <c r="A24" t="str">
        <f>S1</f>
        <v>Korea South</v>
      </c>
      <c r="B24" s="122" t="s">
        <v>2809</v>
      </c>
      <c r="C24">
        <v>13</v>
      </c>
      <c r="E24" s="122" t="s">
        <v>2242</v>
      </c>
      <c r="F24">
        <v>34</v>
      </c>
      <c r="H24" t="s">
        <v>3890</v>
      </c>
      <c r="I24">
        <v>64</v>
      </c>
      <c r="N24" s="122" t="s">
        <v>2810</v>
      </c>
      <c r="O24">
        <v>89</v>
      </c>
    </row>
    <row r="25" spans="1:15">
      <c r="A25" t="str">
        <f>T1</f>
        <v>Kuwait</v>
      </c>
      <c r="B25" s="122" t="s">
        <v>2494</v>
      </c>
      <c r="C25">
        <v>14</v>
      </c>
      <c r="E25" s="122" t="s">
        <v>2244</v>
      </c>
      <c r="F25">
        <v>35</v>
      </c>
      <c r="H25" s="122" t="s">
        <v>264</v>
      </c>
      <c r="I25">
        <v>65</v>
      </c>
      <c r="N25" s="122" t="s">
        <v>2559</v>
      </c>
      <c r="O25">
        <v>90</v>
      </c>
    </row>
    <row r="26" spans="1:15">
      <c r="A26" t="str">
        <f>U1</f>
        <v>Malta</v>
      </c>
      <c r="B26" s="122" t="s">
        <v>2492</v>
      </c>
      <c r="C26">
        <v>15</v>
      </c>
      <c r="E26" s="122" t="s">
        <v>2247</v>
      </c>
      <c r="F26">
        <v>36</v>
      </c>
      <c r="H26" s="122" t="s">
        <v>2558</v>
      </c>
      <c r="I26">
        <v>66</v>
      </c>
      <c r="N26" s="122" t="s">
        <v>2560</v>
      </c>
      <c r="O26">
        <v>91</v>
      </c>
    </row>
    <row r="27" spans="1:15">
      <c r="A27" t="str">
        <f>V1</f>
        <v>Netherlands</v>
      </c>
      <c r="B27" s="122" t="s">
        <v>2486</v>
      </c>
      <c r="C27">
        <v>16</v>
      </c>
      <c r="E27" s="122" t="s">
        <v>2249</v>
      </c>
      <c r="F27">
        <v>37</v>
      </c>
      <c r="H27" s="122" t="s">
        <v>2497</v>
      </c>
      <c r="I27">
        <v>67</v>
      </c>
      <c r="N27" s="122" t="s">
        <v>2561</v>
      </c>
      <c r="O27">
        <v>92</v>
      </c>
    </row>
    <row r="28" spans="1:15">
      <c r="A28" t="str">
        <f>W1</f>
        <v>Norway</v>
      </c>
      <c r="B28" s="122" t="s">
        <v>2487</v>
      </c>
      <c r="C28">
        <v>17</v>
      </c>
      <c r="E28" s="122" t="s">
        <v>2795</v>
      </c>
      <c r="F28">
        <v>38</v>
      </c>
      <c r="N28" s="122" t="s">
        <v>2562</v>
      </c>
      <c r="O28">
        <v>93</v>
      </c>
    </row>
    <row r="29" spans="1:15">
      <c r="A29" t="str">
        <f>X1</f>
        <v>Sweden</v>
      </c>
      <c r="B29" s="122" t="s">
        <v>2488</v>
      </c>
      <c r="C29">
        <v>18</v>
      </c>
      <c r="E29" s="122" t="s">
        <v>2251</v>
      </c>
      <c r="F29">
        <v>39</v>
      </c>
      <c r="N29" s="122" t="s">
        <v>2563</v>
      </c>
      <c r="O29">
        <v>94</v>
      </c>
    </row>
    <row r="30" spans="1:15">
      <c r="A30" t="str">
        <f>Y1</f>
        <v>Taiwan</v>
      </c>
      <c r="B30" s="122" t="s">
        <v>2011</v>
      </c>
      <c r="C30">
        <v>19</v>
      </c>
      <c r="E30" s="122" t="s">
        <v>572</v>
      </c>
      <c r="F30">
        <v>40</v>
      </c>
      <c r="N30" s="122" t="s">
        <v>4357</v>
      </c>
      <c r="O30">
        <v>95</v>
      </c>
    </row>
    <row r="31" spans="1:15">
      <c r="A31" t="str">
        <f>Z1</f>
        <v>United Kingdom</v>
      </c>
      <c r="B31" s="122" t="s">
        <v>4356</v>
      </c>
      <c r="C31">
        <v>20</v>
      </c>
      <c r="E31" s="122" t="s">
        <v>3980</v>
      </c>
      <c r="F31">
        <v>41</v>
      </c>
      <c r="N31" s="122" t="s">
        <v>4359</v>
      </c>
      <c r="O31">
        <v>96</v>
      </c>
    </row>
    <row r="32" spans="1:15">
      <c r="A32" t="str">
        <f>AA1</f>
        <v>United States</v>
      </c>
      <c r="B32" s="122" t="s">
        <v>4358</v>
      </c>
      <c r="C32">
        <v>21</v>
      </c>
      <c r="E32" s="122" t="s">
        <v>3982</v>
      </c>
      <c r="F32">
        <v>42</v>
      </c>
      <c r="N32" s="122" t="s">
        <v>4360</v>
      </c>
      <c r="O32">
        <v>97</v>
      </c>
    </row>
    <row r="33" spans="1:15">
      <c r="A33" t="str">
        <f>AB1</f>
        <v/>
      </c>
      <c r="E33" s="122" t="s">
        <v>3984</v>
      </c>
      <c r="F33">
        <v>43</v>
      </c>
      <c r="N33" s="122" t="s">
        <v>4362</v>
      </c>
      <c r="O33">
        <v>98</v>
      </c>
    </row>
    <row r="34" spans="1:15">
      <c r="A34" t="str">
        <f>AC1</f>
        <v/>
      </c>
      <c r="E34" s="122" t="s">
        <v>3986</v>
      </c>
      <c r="F34">
        <v>44</v>
      </c>
      <c r="N34" s="122" t="s">
        <v>4363</v>
      </c>
      <c r="O34">
        <v>99</v>
      </c>
    </row>
    <row r="35" spans="1:15">
      <c r="A35" t="str">
        <f>AD1</f>
        <v/>
      </c>
      <c r="E35" s="122" t="s">
        <v>3991</v>
      </c>
      <c r="F35">
        <v>45</v>
      </c>
      <c r="N35" s="122" t="s">
        <v>4365</v>
      </c>
      <c r="O35">
        <v>100</v>
      </c>
    </row>
    <row r="36" spans="1:15">
      <c r="A36" t="str">
        <f>AE1</f>
        <v/>
      </c>
      <c r="E36" s="122" t="s">
        <v>4361</v>
      </c>
      <c r="F36">
        <v>46</v>
      </c>
      <c r="N36" s="122" t="s">
        <v>4366</v>
      </c>
      <c r="O36">
        <v>101</v>
      </c>
    </row>
    <row r="37" spans="1:15">
      <c r="A37" t="str">
        <f>AF1</f>
        <v/>
      </c>
      <c r="E37" s="122" t="s">
        <v>3995</v>
      </c>
      <c r="F37">
        <v>47</v>
      </c>
      <c r="N37" s="122" t="s">
        <v>4368</v>
      </c>
      <c r="O37">
        <v>102</v>
      </c>
    </row>
    <row r="38" spans="1:15">
      <c r="A38" t="str">
        <f>AG1</f>
        <v/>
      </c>
      <c r="E38" s="122" t="s">
        <v>4364</v>
      </c>
      <c r="F38">
        <v>48</v>
      </c>
      <c r="N38" s="122" t="s">
        <v>165</v>
      </c>
      <c r="O38">
        <v>103</v>
      </c>
    </row>
    <row r="39" spans="1:15">
      <c r="A39" t="str">
        <f>AI1</f>
        <v/>
      </c>
      <c r="E39" s="122" t="s">
        <v>4001</v>
      </c>
      <c r="F39">
        <v>49</v>
      </c>
      <c r="N39" s="122" t="s">
        <v>4369</v>
      </c>
      <c r="O39">
        <v>104</v>
      </c>
    </row>
    <row r="40" spans="1:15">
      <c r="A40" t="str">
        <f>AJ1</f>
        <v/>
      </c>
      <c r="E40" s="122" t="s">
        <v>4367</v>
      </c>
      <c r="F40">
        <v>50</v>
      </c>
      <c r="N40" s="122" t="s">
        <v>4370</v>
      </c>
      <c r="O40">
        <v>105</v>
      </c>
    </row>
    <row r="41" spans="1:15">
      <c r="A41" t="str">
        <f>AK1</f>
        <v/>
      </c>
      <c r="E41" s="122" t="s">
        <v>721</v>
      </c>
      <c r="F41">
        <v>51</v>
      </c>
      <c r="N41" s="122" t="s">
        <v>4371</v>
      </c>
      <c r="O41">
        <v>106</v>
      </c>
    </row>
    <row r="42" spans="1:15">
      <c r="A42" t="str">
        <f>AL1</f>
        <v/>
      </c>
      <c r="N42" s="122" t="s">
        <v>2360</v>
      </c>
      <c r="O42">
        <v>107</v>
      </c>
    </row>
    <row r="43" spans="1:15">
      <c r="A43" t="str">
        <f>AM1</f>
        <v/>
      </c>
      <c r="N43" s="122" t="s">
        <v>2361</v>
      </c>
      <c r="O43">
        <v>108</v>
      </c>
    </row>
    <row r="44" spans="1:15">
      <c r="A44" t="str">
        <f>AN1</f>
        <v/>
      </c>
      <c r="N44" s="122" t="s">
        <v>2362</v>
      </c>
      <c r="O44">
        <v>109</v>
      </c>
    </row>
    <row r="45" spans="1:15">
      <c r="A45" t="str">
        <f>AO1</f>
        <v/>
      </c>
      <c r="N45" s="122" t="s">
        <v>2363</v>
      </c>
      <c r="O45">
        <v>110</v>
      </c>
    </row>
    <row r="46" spans="1:15">
      <c r="A46" t="str">
        <f>AP1</f>
        <v/>
      </c>
      <c r="N46" s="122" t="s">
        <v>2364</v>
      </c>
      <c r="O46">
        <v>111</v>
      </c>
    </row>
    <row r="47" spans="1:15">
      <c r="A47" t="str">
        <f>AQ1</f>
        <v/>
      </c>
      <c r="N47" s="122" t="s">
        <v>2365</v>
      </c>
      <c r="O47">
        <v>112</v>
      </c>
    </row>
    <row r="48" spans="1:15">
      <c r="A48" t="str">
        <f>AR1</f>
        <v/>
      </c>
      <c r="N48" s="122" t="s">
        <v>2366</v>
      </c>
      <c r="O48">
        <v>113</v>
      </c>
    </row>
    <row r="49" spans="1:15">
      <c r="A49" t="str">
        <f>AS1</f>
        <v/>
      </c>
      <c r="N49" s="122" t="s">
        <v>2367</v>
      </c>
      <c r="O49">
        <v>114</v>
      </c>
    </row>
    <row r="50" spans="1:15">
      <c r="A50" t="str">
        <f>AT1</f>
        <v/>
      </c>
      <c r="N50" s="122" t="s">
        <v>2368</v>
      </c>
      <c r="O50">
        <v>115</v>
      </c>
    </row>
    <row r="51" spans="1:15">
      <c r="A51" t="str">
        <f>AU1</f>
        <v/>
      </c>
      <c r="N51" s="122" t="s">
        <v>2369</v>
      </c>
      <c r="O51">
        <v>116</v>
      </c>
    </row>
    <row r="52" spans="1:15">
      <c r="A52" t="str">
        <f>AV1</f>
        <v/>
      </c>
      <c r="N52" s="122" t="s">
        <v>2370</v>
      </c>
      <c r="O52">
        <v>117</v>
      </c>
    </row>
    <row r="53" spans="1:15">
      <c r="A53" t="str">
        <f>AW1</f>
        <v/>
      </c>
      <c r="N53" s="122" t="s">
        <v>2371</v>
      </c>
      <c r="O53">
        <v>118</v>
      </c>
    </row>
    <row r="54" spans="1:15">
      <c r="A54" t="str">
        <f>AX1</f>
        <v/>
      </c>
      <c r="N54" s="122" t="s">
        <v>2372</v>
      </c>
      <c r="O54">
        <v>119</v>
      </c>
    </row>
    <row r="55" spans="1:15">
      <c r="A55" t="str">
        <f>AY1</f>
        <v/>
      </c>
      <c r="N55" s="122" t="s">
        <v>2373</v>
      </c>
      <c r="O55">
        <v>120</v>
      </c>
    </row>
    <row r="56" spans="1:15">
      <c r="A56" t="str">
        <f>AZ1</f>
        <v/>
      </c>
      <c r="N56" s="122" t="s">
        <v>2374</v>
      </c>
      <c r="O56">
        <v>121</v>
      </c>
    </row>
    <row r="57" spans="1:15">
      <c r="A57" t="str">
        <f>BA1</f>
        <v/>
      </c>
      <c r="N57" s="122" t="s">
        <v>2375</v>
      </c>
      <c r="O57">
        <v>122</v>
      </c>
    </row>
    <row r="58" spans="1:15">
      <c r="A58" t="str">
        <f>BB1</f>
        <v/>
      </c>
      <c r="N58" s="122" t="s">
        <v>2376</v>
      </c>
      <c r="O58">
        <v>123</v>
      </c>
    </row>
    <row r="59" spans="1:15">
      <c r="A59" t="str">
        <f>BC1</f>
        <v/>
      </c>
      <c r="N59" s="122" t="s">
        <v>2377</v>
      </c>
      <c r="O59">
        <v>124</v>
      </c>
    </row>
    <row r="60" spans="1:15">
      <c r="A60" t="str">
        <f>BD1</f>
        <v/>
      </c>
      <c r="N60" s="122" t="s">
        <v>2378</v>
      </c>
      <c r="O60">
        <v>125</v>
      </c>
    </row>
    <row r="61" spans="1:15">
      <c r="A61" t="str">
        <f>BE1</f>
        <v/>
      </c>
      <c r="N61" s="122" t="s">
        <v>2379</v>
      </c>
      <c r="O61">
        <v>126</v>
      </c>
    </row>
    <row r="62" spans="1:15">
      <c r="A62" t="str">
        <f>BF1</f>
        <v/>
      </c>
      <c r="N62" s="122" t="s">
        <v>2380</v>
      </c>
      <c r="O62">
        <v>127</v>
      </c>
    </row>
    <row r="63" spans="1:15">
      <c r="A63" t="str">
        <f>BG1</f>
        <v/>
      </c>
      <c r="N63" s="122" t="s">
        <v>2381</v>
      </c>
      <c r="O63">
        <v>128</v>
      </c>
    </row>
    <row r="64" spans="1:15">
      <c r="A64" t="str">
        <f>BH1</f>
        <v/>
      </c>
      <c r="N64" s="122" t="s">
        <v>2382</v>
      </c>
      <c r="O64">
        <v>129</v>
      </c>
    </row>
    <row r="65" spans="1:15">
      <c r="A65" t="str">
        <f>BI1</f>
        <v/>
      </c>
      <c r="N65" s="122" t="s">
        <v>2383</v>
      </c>
      <c r="O65">
        <v>130</v>
      </c>
    </row>
    <row r="66" spans="1:15">
      <c r="A66" t="str">
        <f>BJ1</f>
        <v/>
      </c>
      <c r="N66" s="122" t="s">
        <v>2384</v>
      </c>
      <c r="O66">
        <v>131</v>
      </c>
    </row>
    <row r="67" spans="1:15">
      <c r="A67" t="str">
        <f>BK1</f>
        <v/>
      </c>
      <c r="N67" s="122" t="s">
        <v>2385</v>
      </c>
      <c r="O67">
        <v>132</v>
      </c>
    </row>
    <row r="68" spans="1:15">
      <c r="A68" t="str">
        <f>BL1</f>
        <v/>
      </c>
      <c r="N68" s="122" t="s">
        <v>2386</v>
      </c>
      <c r="O68">
        <v>133</v>
      </c>
    </row>
    <row r="69" spans="1:15">
      <c r="A69" t="str">
        <f>BM1</f>
        <v/>
      </c>
      <c r="N69" s="122" t="s">
        <v>2387</v>
      </c>
      <c r="O69">
        <v>134</v>
      </c>
    </row>
    <row r="70" spans="1:15">
      <c r="A70" t="str">
        <f>BN1</f>
        <v/>
      </c>
      <c r="N70" s="122" t="s">
        <v>2388</v>
      </c>
      <c r="O70">
        <v>135</v>
      </c>
    </row>
    <row r="71" spans="1:15">
      <c r="A71" t="str">
        <f>BO1</f>
        <v/>
      </c>
      <c r="N71" s="122" t="s">
        <v>2389</v>
      </c>
      <c r="O71">
        <v>136</v>
      </c>
    </row>
    <row r="72" spans="1:15">
      <c r="A72" t="str">
        <f>BP1</f>
        <v/>
      </c>
      <c r="N72" s="122" t="s">
        <v>2390</v>
      </c>
      <c r="O72">
        <v>137</v>
      </c>
    </row>
    <row r="73" spans="1:15">
      <c r="A73" t="str">
        <f>BQ1</f>
        <v/>
      </c>
      <c r="N73" s="122" t="s">
        <v>2391</v>
      </c>
      <c r="O73">
        <v>138</v>
      </c>
    </row>
    <row r="74" spans="1:15">
      <c r="A74" t="str">
        <f>BR1</f>
        <v/>
      </c>
      <c r="N74" s="122" t="s">
        <v>2392</v>
      </c>
      <c r="O74">
        <v>139</v>
      </c>
    </row>
    <row r="75" spans="1:15">
      <c r="A75" t="str">
        <f>BS1</f>
        <v/>
      </c>
      <c r="N75" s="122" t="s">
        <v>2393</v>
      </c>
      <c r="O75">
        <v>140</v>
      </c>
    </row>
    <row r="76" spans="1:15">
      <c r="A76" t="str">
        <f>BT1</f>
        <v/>
      </c>
      <c r="N76" s="122" t="s">
        <v>2394</v>
      </c>
      <c r="O76">
        <v>141</v>
      </c>
    </row>
    <row r="77" spans="1:15">
      <c r="A77" t="str">
        <f>BU1</f>
        <v/>
      </c>
      <c r="N77" s="122" t="s">
        <v>2395</v>
      </c>
      <c r="O77">
        <v>142</v>
      </c>
    </row>
    <row r="78" spans="1:15">
      <c r="A78" t="str">
        <f>BV1</f>
        <v/>
      </c>
      <c r="N78" s="122" t="s">
        <v>2396</v>
      </c>
      <c r="O78">
        <v>143</v>
      </c>
    </row>
    <row r="79" spans="1:15">
      <c r="A79" t="str">
        <f>BW1</f>
        <v/>
      </c>
      <c r="N79" s="122" t="s">
        <v>2397</v>
      </c>
      <c r="O79">
        <v>144</v>
      </c>
    </row>
    <row r="80" spans="1:15">
      <c r="A80" t="str">
        <f>BX1</f>
        <v/>
      </c>
      <c r="N80" s="122" t="s">
        <v>2398</v>
      </c>
      <c r="O80">
        <v>145</v>
      </c>
    </row>
    <row r="81" spans="1:15">
      <c r="A81" t="str">
        <f>BY1</f>
        <v/>
      </c>
      <c r="N81" s="122" t="s">
        <v>2399</v>
      </c>
      <c r="O81">
        <v>146</v>
      </c>
    </row>
    <row r="82" spans="1:15">
      <c r="A82" t="str">
        <f>BZ1</f>
        <v/>
      </c>
      <c r="N82" s="122" t="s">
        <v>2400</v>
      </c>
      <c r="O82">
        <v>147</v>
      </c>
    </row>
    <row r="83" spans="1:15">
      <c r="A83" t="str">
        <f>CA1</f>
        <v/>
      </c>
      <c r="N83" s="122" t="s">
        <v>2401</v>
      </c>
      <c r="O83">
        <v>148</v>
      </c>
    </row>
    <row r="84" spans="1:15">
      <c r="A84" t="str">
        <f>CB1</f>
        <v/>
      </c>
      <c r="N84" s="122" t="s">
        <v>1540</v>
      </c>
      <c r="O84">
        <v>149</v>
      </c>
    </row>
    <row r="85" spans="1:15">
      <c r="A85" t="str">
        <f>CC1</f>
        <v/>
      </c>
      <c r="N85" s="122" t="s">
        <v>1541</v>
      </c>
      <c r="O85">
        <v>150</v>
      </c>
    </row>
    <row r="86" spans="1:15">
      <c r="A86" t="str">
        <f>CD1</f>
        <v/>
      </c>
      <c r="N86" s="122" t="s">
        <v>1542</v>
      </c>
      <c r="O86">
        <v>151</v>
      </c>
    </row>
    <row r="87" spans="1:15">
      <c r="A87" t="str">
        <f>CE1</f>
        <v/>
      </c>
      <c r="N87" s="122" t="s">
        <v>1543</v>
      </c>
      <c r="O87">
        <v>152</v>
      </c>
    </row>
    <row r="88" spans="1:15">
      <c r="A88" t="str">
        <f>CF1</f>
        <v/>
      </c>
      <c r="N88" s="122" t="s">
        <v>1544</v>
      </c>
      <c r="O88">
        <v>153</v>
      </c>
    </row>
    <row r="89" spans="1:15">
      <c r="A89" t="str">
        <f>CG1</f>
        <v/>
      </c>
      <c r="N89" s="122" t="s">
        <v>1545</v>
      </c>
      <c r="O89">
        <v>154</v>
      </c>
    </row>
    <row r="90" spans="1:15">
      <c r="A90" t="str">
        <f>CH1</f>
        <v/>
      </c>
      <c r="N90" s="122" t="s">
        <v>1546</v>
      </c>
      <c r="O90">
        <v>155</v>
      </c>
    </row>
    <row r="91" spans="1:15">
      <c r="A91" t="str">
        <f>CI1</f>
        <v/>
      </c>
      <c r="N91" s="122" t="s">
        <v>1547</v>
      </c>
      <c r="O91">
        <v>156</v>
      </c>
    </row>
    <row r="92" spans="1:15">
      <c r="A92" t="str">
        <f>CJ1</f>
        <v/>
      </c>
      <c r="N92" s="122" t="s">
        <v>1548</v>
      </c>
      <c r="O92">
        <v>157</v>
      </c>
    </row>
    <row r="93" spans="1:15">
      <c r="A93" t="str">
        <f>CK1</f>
        <v/>
      </c>
      <c r="N93" s="122" t="s">
        <v>948</v>
      </c>
      <c r="O93">
        <v>158</v>
      </c>
    </row>
    <row r="94" spans="1:15">
      <c r="A94" t="str">
        <f>CL1</f>
        <v/>
      </c>
      <c r="N94" s="122" t="s">
        <v>949</v>
      </c>
      <c r="O94">
        <v>159</v>
      </c>
    </row>
    <row r="95" spans="1:15">
      <c r="A95" t="str">
        <f>CM1</f>
        <v/>
      </c>
      <c r="N95" s="122" t="s">
        <v>950</v>
      </c>
      <c r="O95">
        <v>160</v>
      </c>
    </row>
    <row r="96" spans="1:15">
      <c r="A96" t="str">
        <f>CN1</f>
        <v/>
      </c>
      <c r="N96" s="122" t="s">
        <v>951</v>
      </c>
      <c r="O96">
        <v>161</v>
      </c>
    </row>
    <row r="97" spans="1:15">
      <c r="A97" t="str">
        <f>CO1</f>
        <v/>
      </c>
      <c r="N97" s="122" t="s">
        <v>952</v>
      </c>
      <c r="O97">
        <v>162</v>
      </c>
    </row>
    <row r="98" spans="1:15">
      <c r="A98" t="str">
        <f>CP1</f>
        <v/>
      </c>
      <c r="N98" s="122" t="s">
        <v>953</v>
      </c>
      <c r="O98">
        <v>163</v>
      </c>
    </row>
    <row r="99" spans="1:15">
      <c r="A99" t="str">
        <f>CQ1</f>
        <v/>
      </c>
      <c r="N99" s="122" t="s">
        <v>4292</v>
      </c>
      <c r="O99">
        <v>164</v>
      </c>
    </row>
    <row r="100" spans="1:15">
      <c r="A100" t="str">
        <f>CR1</f>
        <v/>
      </c>
      <c r="N100" s="122" t="s">
        <v>4293</v>
      </c>
      <c r="O100">
        <v>165</v>
      </c>
    </row>
    <row r="101" spans="1:15">
      <c r="A101" t="str">
        <f>CS1</f>
        <v/>
      </c>
      <c r="N101" s="122" t="s">
        <v>4294</v>
      </c>
      <c r="O101">
        <v>166</v>
      </c>
    </row>
    <row r="102" spans="1:15">
      <c r="A102" t="str">
        <f>CT1</f>
        <v/>
      </c>
      <c r="N102" s="122" t="s">
        <v>4382</v>
      </c>
      <c r="O102">
        <v>167</v>
      </c>
    </row>
    <row r="103" spans="1:15">
      <c r="A103" t="str">
        <f>CU1</f>
        <v/>
      </c>
      <c r="N103" s="122" t="s">
        <v>4383</v>
      </c>
      <c r="O103">
        <v>168</v>
      </c>
    </row>
    <row r="104" spans="1:15">
      <c r="A104" t="str">
        <f>CV1</f>
        <v/>
      </c>
      <c r="N104" s="122" t="s">
        <v>4384</v>
      </c>
      <c r="O104">
        <v>169</v>
      </c>
    </row>
    <row r="105" spans="1:15">
      <c r="A105" t="str">
        <f>CW1</f>
        <v/>
      </c>
      <c r="N105" s="122" t="s">
        <v>4385</v>
      </c>
      <c r="O105">
        <v>170</v>
      </c>
    </row>
    <row r="106" spans="1:15">
      <c r="A106" t="str">
        <f>CX1</f>
        <v/>
      </c>
      <c r="N106" s="122" t="s">
        <v>4386</v>
      </c>
      <c r="O106">
        <v>171</v>
      </c>
    </row>
    <row r="107" spans="1:15">
      <c r="A107" t="str">
        <f>CY1</f>
        <v/>
      </c>
      <c r="N107" s="122" t="s">
        <v>4387</v>
      </c>
      <c r="O107">
        <v>172</v>
      </c>
    </row>
    <row r="108" spans="1:15">
      <c r="A108" t="str">
        <f>CZ1</f>
        <v/>
      </c>
      <c r="N108" s="122" t="s">
        <v>1997</v>
      </c>
      <c r="O108">
        <v>173</v>
      </c>
    </row>
    <row r="109" spans="1:15">
      <c r="A109" t="str">
        <f>DA1</f>
        <v/>
      </c>
      <c r="N109" s="122" t="s">
        <v>1998</v>
      </c>
      <c r="O109">
        <v>174</v>
      </c>
    </row>
    <row r="110" spans="1:15">
      <c r="A110" t="str">
        <f>DB1</f>
        <v/>
      </c>
      <c r="N110" s="122" t="s">
        <v>1999</v>
      </c>
      <c r="O110">
        <v>175</v>
      </c>
    </row>
    <row r="111" spans="1:15">
      <c r="A111" t="str">
        <f>DC1</f>
        <v/>
      </c>
      <c r="N111" s="122" t="s">
        <v>2000</v>
      </c>
      <c r="O111">
        <v>176</v>
      </c>
    </row>
    <row r="112" spans="1:15">
      <c r="A112" t="str">
        <f>DD1</f>
        <v/>
      </c>
      <c r="N112" s="122" t="s">
        <v>2001</v>
      </c>
      <c r="O112">
        <v>177</v>
      </c>
    </row>
    <row r="113" spans="1:15">
      <c r="A113" t="str">
        <f>DE1</f>
        <v/>
      </c>
      <c r="N113" s="122" t="s">
        <v>2002</v>
      </c>
      <c r="O113">
        <v>178</v>
      </c>
    </row>
    <row r="114" spans="1:15">
      <c r="A114" t="str">
        <f>DF1</f>
        <v/>
      </c>
      <c r="N114" s="122" t="s">
        <v>2003</v>
      </c>
      <c r="O114">
        <v>179</v>
      </c>
    </row>
    <row r="115" spans="1:15">
      <c r="A115" t="str">
        <f>DG1</f>
        <v/>
      </c>
      <c r="N115" s="122" t="s">
        <v>2004</v>
      </c>
      <c r="O115">
        <v>180</v>
      </c>
    </row>
    <row r="116" spans="1:15">
      <c r="A116" t="str">
        <f>DH1</f>
        <v/>
      </c>
      <c r="N116" s="122" t="s">
        <v>2005</v>
      </c>
      <c r="O116">
        <v>181</v>
      </c>
    </row>
    <row r="117" spans="1:15">
      <c r="A117" t="str">
        <f>DI1</f>
        <v/>
      </c>
      <c r="N117" s="122" t="s">
        <v>2006</v>
      </c>
      <c r="O117">
        <v>182</v>
      </c>
    </row>
    <row r="118" spans="1:15">
      <c r="A118" t="str">
        <f>DJ1</f>
        <v/>
      </c>
      <c r="N118" s="122" t="s">
        <v>2007</v>
      </c>
      <c r="O118">
        <v>183</v>
      </c>
    </row>
    <row r="119" spans="1:15">
      <c r="A119" t="str">
        <f>DK1</f>
        <v/>
      </c>
      <c r="N119" s="122" t="s">
        <v>2008</v>
      </c>
      <c r="O119">
        <v>184</v>
      </c>
    </row>
    <row r="120" spans="1:15">
      <c r="A120" t="str">
        <f>DL1</f>
        <v/>
      </c>
      <c r="N120" s="122" t="s">
        <v>2009</v>
      </c>
      <c r="O120">
        <v>185</v>
      </c>
    </row>
    <row r="121" spans="1:15">
      <c r="A121" t="str">
        <f>DM1</f>
        <v/>
      </c>
      <c r="N121" s="122" t="s">
        <v>2010</v>
      </c>
      <c r="O121">
        <v>186</v>
      </c>
    </row>
    <row r="122" spans="1:15">
      <c r="A122" t="str">
        <f>DN1</f>
        <v/>
      </c>
      <c r="N122" s="122" t="s">
        <v>2011</v>
      </c>
      <c r="O122">
        <v>187</v>
      </c>
    </row>
    <row r="123" spans="1:15">
      <c r="A123" t="str">
        <f>DO1</f>
        <v/>
      </c>
      <c r="N123" s="122" t="s">
        <v>2012</v>
      </c>
      <c r="O123">
        <v>188</v>
      </c>
    </row>
    <row r="124" spans="1:15">
      <c r="A124" t="str">
        <f>DP1</f>
        <v/>
      </c>
      <c r="N124" s="122" t="s">
        <v>2013</v>
      </c>
      <c r="O124">
        <v>189</v>
      </c>
    </row>
    <row r="125" spans="1:15">
      <c r="A125" t="str">
        <f>DQ1</f>
        <v/>
      </c>
      <c r="N125" s="122" t="s">
        <v>2014</v>
      </c>
      <c r="O125">
        <v>190</v>
      </c>
    </row>
    <row r="126" spans="1:15">
      <c r="A126" t="str">
        <f>DR1</f>
        <v/>
      </c>
      <c r="N126" s="122" t="s">
        <v>2015</v>
      </c>
      <c r="O126">
        <v>191</v>
      </c>
    </row>
    <row r="127" spans="1:15">
      <c r="A127" t="str">
        <f>DS1</f>
        <v/>
      </c>
      <c r="N127" s="122" t="s">
        <v>2016</v>
      </c>
      <c r="O127">
        <v>192</v>
      </c>
    </row>
    <row r="128" spans="1:15">
      <c r="A128" t="str">
        <f>DT1</f>
        <v/>
      </c>
      <c r="N128" s="122" t="s">
        <v>2017</v>
      </c>
      <c r="O128">
        <v>193</v>
      </c>
    </row>
    <row r="129" spans="1:15">
      <c r="A129" t="str">
        <f>DU1</f>
        <v/>
      </c>
      <c r="N129" s="122" t="s">
        <v>2018</v>
      </c>
      <c r="O129">
        <v>194</v>
      </c>
    </row>
    <row r="130" spans="1:15">
      <c r="A130" t="str">
        <f>DV1</f>
        <v/>
      </c>
      <c r="N130" s="122" t="s">
        <v>2019</v>
      </c>
      <c r="O130">
        <v>195</v>
      </c>
    </row>
    <row r="131" spans="1:15">
      <c r="A131" t="str">
        <f>DW1</f>
        <v/>
      </c>
      <c r="N131" s="122" t="s">
        <v>2020</v>
      </c>
      <c r="O131">
        <v>196</v>
      </c>
    </row>
    <row r="132" spans="1:15">
      <c r="A132" t="str">
        <f>DX1</f>
        <v/>
      </c>
      <c r="N132" s="122" t="s">
        <v>2021</v>
      </c>
      <c r="O132">
        <v>197</v>
      </c>
    </row>
    <row r="133" spans="1:15">
      <c r="A133" t="str">
        <f>DY1</f>
        <v/>
      </c>
      <c r="N133" s="122" t="s">
        <v>2022</v>
      </c>
      <c r="O133">
        <v>198</v>
      </c>
    </row>
    <row r="134" spans="1:15">
      <c r="A134" t="str">
        <f>DZ1</f>
        <v/>
      </c>
      <c r="N134" s="122" t="s">
        <v>2023</v>
      </c>
      <c r="O134">
        <v>199</v>
      </c>
    </row>
    <row r="135" spans="1:15">
      <c r="A135" t="str">
        <f>EA1</f>
        <v/>
      </c>
      <c r="N135" s="122" t="s">
        <v>2024</v>
      </c>
      <c r="O135">
        <v>200</v>
      </c>
    </row>
    <row r="136" spans="1:15">
      <c r="A136" t="str">
        <f>EB1</f>
        <v/>
      </c>
      <c r="N136" s="122" t="s">
        <v>2025</v>
      </c>
      <c r="O136">
        <v>201</v>
      </c>
    </row>
    <row r="137" spans="1:15">
      <c r="N137" s="122" t="s">
        <v>2026</v>
      </c>
      <c r="O137">
        <v>202</v>
      </c>
    </row>
    <row r="138" spans="1:15">
      <c r="N138" s="122" t="s">
        <v>2027</v>
      </c>
      <c r="O138">
        <v>203</v>
      </c>
    </row>
  </sheetData>
  <sheetProtection password="C620" sheet="1"/>
  <phoneticPr fontId="19"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defaultRowHeight="12.75"/>
  <cols>
    <col min="1" max="1" width="20.7109375" style="86" bestFit="1" customWidth="1"/>
    <col min="2" max="2" width="35" style="86" bestFit="1" customWidth="1"/>
    <col min="3" max="4" width="4.7109375" style="88" customWidth="1"/>
    <col min="5" max="5" width="6.140625" style="100" bestFit="1" customWidth="1"/>
    <col min="6" max="6" width="6.140625" style="100" customWidth="1"/>
    <col min="7" max="7" width="19.28515625" style="86" bestFit="1" customWidth="1"/>
    <col min="8" max="9" width="4.7109375" style="88" customWidth="1"/>
    <col min="10" max="10" width="4.7109375" style="100" customWidth="1"/>
    <col min="11" max="11" width="16.140625" style="86" bestFit="1" customWidth="1"/>
    <col min="12" max="14" width="4.7109375" style="86" customWidth="1"/>
    <col min="15" max="15" width="16" style="86" bestFit="1" customWidth="1"/>
    <col min="16" max="17" width="4.7109375" style="86" customWidth="1"/>
    <col min="18" max="18" width="4.7109375" style="90" customWidth="1"/>
    <col min="19" max="19" width="18.7109375" style="86" bestFit="1" customWidth="1"/>
    <col min="20" max="20" width="4.7109375" style="86" customWidth="1"/>
    <col min="21" max="21" width="7.5703125" style="86" bestFit="1" customWidth="1"/>
    <col min="22" max="22" width="4.7109375" style="90" customWidth="1"/>
    <col min="23" max="23" width="16.140625" style="86" bestFit="1" customWidth="1"/>
    <col min="24" max="25" width="4.7109375" style="86" customWidth="1"/>
    <col min="26" max="26" width="4.7109375" style="90" customWidth="1"/>
    <col min="27" max="16384" width="9.140625" style="86"/>
  </cols>
  <sheetData>
    <row r="1" spans="1:25" s="83" customFormat="1">
      <c r="A1" s="83" t="s">
        <v>2498</v>
      </c>
      <c r="B1" s="1001" t="s">
        <v>3393</v>
      </c>
      <c r="C1" s="1001"/>
      <c r="D1" s="1001"/>
      <c r="E1" s="1001"/>
      <c r="F1" s="84"/>
      <c r="G1" s="1000" t="s">
        <v>3394</v>
      </c>
      <c r="H1" s="1000"/>
      <c r="I1" s="1000"/>
      <c r="J1" s="1000"/>
      <c r="K1" s="1000" t="s">
        <v>3395</v>
      </c>
      <c r="L1" s="1000"/>
      <c r="M1" s="1000"/>
      <c r="N1" s="1000"/>
      <c r="O1" s="1001" t="s">
        <v>3396</v>
      </c>
      <c r="P1" s="1001"/>
      <c r="Q1" s="1001"/>
      <c r="R1" s="1001"/>
      <c r="S1" s="1000" t="s">
        <v>3397</v>
      </c>
      <c r="T1" s="1000"/>
      <c r="U1" s="1000"/>
      <c r="V1" s="1000"/>
    </row>
    <row r="2" spans="1:25" s="83" customFormat="1">
      <c r="A2" s="86" t="s">
        <v>1790</v>
      </c>
      <c r="C2" s="86"/>
      <c r="D2" s="86"/>
      <c r="E2" s="86"/>
      <c r="F2" s="86"/>
      <c r="H2" s="86"/>
      <c r="I2" s="86"/>
      <c r="J2" s="86"/>
      <c r="L2" s="86"/>
      <c r="M2" s="86"/>
      <c r="N2" s="86"/>
      <c r="P2" s="86"/>
      <c r="Q2" s="86"/>
      <c r="R2" s="86"/>
      <c r="T2" s="85"/>
      <c r="U2" s="85"/>
      <c r="V2" s="85"/>
    </row>
    <row r="3" spans="1:25" s="83" customFormat="1">
      <c r="A3" s="86" t="s">
        <v>2499</v>
      </c>
      <c r="B3" s="87"/>
      <c r="C3" s="87"/>
      <c r="D3" s="87"/>
      <c r="E3" s="87"/>
      <c r="F3" s="87"/>
      <c r="G3" s="87"/>
      <c r="H3" s="87"/>
      <c r="I3" s="87"/>
      <c r="J3" s="87"/>
      <c r="K3" s="87"/>
      <c r="L3" s="87"/>
      <c r="M3" s="87"/>
      <c r="N3" s="87"/>
      <c r="O3" s="87"/>
      <c r="P3" s="87"/>
      <c r="Q3" s="87"/>
      <c r="R3" s="87"/>
      <c r="S3" s="87"/>
      <c r="T3" s="85"/>
      <c r="U3" s="85"/>
      <c r="V3" s="85"/>
    </row>
    <row r="4" spans="1:25">
      <c r="A4" s="86" t="s">
        <v>1787</v>
      </c>
      <c r="B4" s="86" t="s">
        <v>1790</v>
      </c>
      <c r="C4" s="88" t="s">
        <v>3398</v>
      </c>
      <c r="D4" s="88" t="s">
        <v>3399</v>
      </c>
      <c r="E4" s="89" t="s">
        <v>3400</v>
      </c>
      <c r="F4" s="89"/>
      <c r="G4" s="86" t="s">
        <v>1790</v>
      </c>
      <c r="H4" s="88" t="s">
        <v>3398</v>
      </c>
      <c r="I4" s="88" t="s">
        <v>3399</v>
      </c>
      <c r="J4" s="89" t="s">
        <v>3400</v>
      </c>
      <c r="K4" s="86" t="s">
        <v>1790</v>
      </c>
      <c r="L4" s="88" t="s">
        <v>3398</v>
      </c>
      <c r="M4" s="88" t="s">
        <v>3399</v>
      </c>
      <c r="N4" s="89" t="s">
        <v>3400</v>
      </c>
      <c r="O4" s="86" t="s">
        <v>1790</v>
      </c>
      <c r="P4" s="88" t="s">
        <v>3398</v>
      </c>
      <c r="Q4" s="88" t="s">
        <v>3399</v>
      </c>
      <c r="R4" s="89" t="s">
        <v>3400</v>
      </c>
      <c r="S4" s="86" t="s">
        <v>1790</v>
      </c>
      <c r="T4" s="88" t="s">
        <v>3398</v>
      </c>
      <c r="U4" s="88" t="s">
        <v>3399</v>
      </c>
      <c r="V4" s="89" t="s">
        <v>3400</v>
      </c>
    </row>
    <row r="5" spans="1:25">
      <c r="A5" s="86" t="s">
        <v>1788</v>
      </c>
      <c r="B5" s="91" t="s">
        <v>2238</v>
      </c>
      <c r="C5" s="92">
        <v>88</v>
      </c>
      <c r="D5" s="88">
        <v>507</v>
      </c>
      <c r="E5" s="89">
        <f>R43+1</f>
        <v>118</v>
      </c>
      <c r="F5" s="89"/>
      <c r="G5" s="91" t="s">
        <v>3403</v>
      </c>
      <c r="I5" s="88">
        <v>513</v>
      </c>
      <c r="J5" s="89">
        <v>201</v>
      </c>
      <c r="K5" s="91" t="s">
        <v>3404</v>
      </c>
      <c r="L5" s="93">
        <v>95</v>
      </c>
      <c r="M5" s="93"/>
      <c r="N5" s="89">
        <v>301</v>
      </c>
      <c r="O5" s="91" t="s">
        <v>3405</v>
      </c>
      <c r="P5" s="93">
        <v>58</v>
      </c>
      <c r="Q5" s="93">
        <v>551</v>
      </c>
      <c r="R5" s="94">
        <v>401</v>
      </c>
      <c r="S5" s="91" t="s">
        <v>3406</v>
      </c>
      <c r="T5" s="93">
        <v>136</v>
      </c>
      <c r="U5" s="93" t="s">
        <v>3407</v>
      </c>
      <c r="V5" s="94">
        <v>501</v>
      </c>
    </row>
    <row r="6" spans="1:25">
      <c r="A6" s="86" t="s">
        <v>1789</v>
      </c>
      <c r="B6" s="91" t="s">
        <v>2241</v>
      </c>
      <c r="C6" s="88">
        <v>30</v>
      </c>
      <c r="D6" s="88">
        <v>530</v>
      </c>
      <c r="E6" s="89">
        <f>E5+1</f>
        <v>119</v>
      </c>
      <c r="F6" s="89"/>
      <c r="G6" s="91" t="s">
        <v>3409</v>
      </c>
      <c r="H6" s="88">
        <v>130</v>
      </c>
      <c r="I6" s="88">
        <v>553</v>
      </c>
      <c r="J6" s="89">
        <f>J5+1</f>
        <v>202</v>
      </c>
      <c r="K6" s="91" t="s">
        <v>3410</v>
      </c>
      <c r="L6" s="93">
        <v>97</v>
      </c>
      <c r="M6" s="88"/>
      <c r="N6" s="89">
        <f>N5+1</f>
        <v>302</v>
      </c>
      <c r="O6" s="91" t="s">
        <v>3411</v>
      </c>
      <c r="P6" s="93">
        <v>52</v>
      </c>
      <c r="Q6" s="93">
        <v>551</v>
      </c>
      <c r="R6" s="94">
        <f>R5+1</f>
        <v>402</v>
      </c>
      <c r="S6" s="91" t="s">
        <v>3412</v>
      </c>
      <c r="T6" s="93">
        <v>134</v>
      </c>
      <c r="V6" s="94">
        <f>V5+1</f>
        <v>502</v>
      </c>
    </row>
    <row r="7" spans="1:25">
      <c r="B7" s="91" t="s">
        <v>946</v>
      </c>
      <c r="C7" s="93">
        <v>100</v>
      </c>
      <c r="D7" s="88">
        <v>512</v>
      </c>
      <c r="E7" s="89">
        <v>120</v>
      </c>
      <c r="F7" s="89"/>
      <c r="G7" s="91" t="s">
        <v>3414</v>
      </c>
      <c r="H7" s="88">
        <v>28</v>
      </c>
      <c r="I7" s="88">
        <v>528</v>
      </c>
      <c r="J7" s="89">
        <f t="shared" ref="J7:J42" si="0">J6+1</f>
        <v>203</v>
      </c>
      <c r="K7" s="91" t="s">
        <v>3415</v>
      </c>
      <c r="L7" s="93">
        <v>98</v>
      </c>
      <c r="M7" s="88"/>
      <c r="N7" s="89">
        <f>N6+1</f>
        <v>303</v>
      </c>
      <c r="O7" s="91" t="s">
        <v>153</v>
      </c>
      <c r="P7" s="93">
        <v>54</v>
      </c>
      <c r="Q7" s="93">
        <v>551</v>
      </c>
      <c r="R7" s="94">
        <f t="shared" ref="R7:R24" si="1">R6+1</f>
        <v>403</v>
      </c>
      <c r="S7" s="91" t="s">
        <v>154</v>
      </c>
      <c r="T7" s="93">
        <v>47</v>
      </c>
      <c r="V7" s="94">
        <f t="shared" ref="V7:V12" si="2">V6+1</f>
        <v>503</v>
      </c>
    </row>
    <row r="8" spans="1:25">
      <c r="B8" s="91" t="s">
        <v>2246</v>
      </c>
      <c r="C8" s="93">
        <v>101</v>
      </c>
      <c r="D8" s="88">
        <v>512</v>
      </c>
      <c r="E8" s="89">
        <v>121</v>
      </c>
      <c r="F8" s="89"/>
      <c r="G8" s="91" t="s">
        <v>157</v>
      </c>
      <c r="H8" s="93">
        <v>76</v>
      </c>
      <c r="I8" s="88">
        <v>576</v>
      </c>
      <c r="J8" s="89">
        <f t="shared" si="0"/>
        <v>204</v>
      </c>
      <c r="K8" s="91" t="s">
        <v>158</v>
      </c>
      <c r="L8" s="93">
        <v>99</v>
      </c>
      <c r="M8" s="88"/>
      <c r="N8" s="89">
        <f>N7+1</f>
        <v>304</v>
      </c>
      <c r="O8" s="91" t="s">
        <v>160</v>
      </c>
      <c r="P8" s="93">
        <v>57</v>
      </c>
      <c r="Q8" s="93">
        <v>551</v>
      </c>
      <c r="R8" s="94">
        <f t="shared" si="1"/>
        <v>404</v>
      </c>
      <c r="S8" s="91" t="s">
        <v>161</v>
      </c>
      <c r="V8" s="94">
        <f t="shared" si="2"/>
        <v>504</v>
      </c>
    </row>
    <row r="9" spans="1:25">
      <c r="B9" s="91" t="s">
        <v>2248</v>
      </c>
      <c r="C9" s="93">
        <v>103</v>
      </c>
      <c r="D9" s="88">
        <v>512</v>
      </c>
      <c r="E9" s="89">
        <v>122</v>
      </c>
      <c r="F9" s="89"/>
      <c r="G9" s="91" t="s">
        <v>163</v>
      </c>
      <c r="H9" s="93">
        <v>76</v>
      </c>
      <c r="I9" s="88">
        <v>576</v>
      </c>
      <c r="J9" s="89">
        <f t="shared" si="0"/>
        <v>205</v>
      </c>
      <c r="N9" s="90"/>
      <c r="O9" s="91" t="s">
        <v>164</v>
      </c>
      <c r="P9" s="93">
        <v>51</v>
      </c>
      <c r="Q9" s="93">
        <v>551</v>
      </c>
      <c r="R9" s="94">
        <f t="shared" si="1"/>
        <v>405</v>
      </c>
      <c r="S9" s="91" t="s">
        <v>165</v>
      </c>
      <c r="T9" s="88">
        <v>133</v>
      </c>
      <c r="U9" s="95">
        <v>533</v>
      </c>
      <c r="V9" s="94">
        <f t="shared" si="2"/>
        <v>505</v>
      </c>
    </row>
    <row r="10" spans="1:25">
      <c r="B10" s="91" t="s">
        <v>2250</v>
      </c>
      <c r="C10" s="93">
        <v>105</v>
      </c>
      <c r="D10" s="88">
        <v>512</v>
      </c>
      <c r="E10" s="89">
        <v>123</v>
      </c>
      <c r="F10" s="89"/>
      <c r="G10" s="91" t="s">
        <v>231</v>
      </c>
      <c r="I10" s="95">
        <v>548</v>
      </c>
      <c r="J10" s="89">
        <f t="shared" si="0"/>
        <v>206</v>
      </c>
      <c r="N10" s="90"/>
      <c r="O10" s="91" t="s">
        <v>232</v>
      </c>
      <c r="P10" s="93">
        <v>53</v>
      </c>
      <c r="Q10" s="93">
        <v>551</v>
      </c>
      <c r="R10" s="94">
        <f t="shared" si="1"/>
        <v>406</v>
      </c>
      <c r="S10" s="91" t="s">
        <v>233</v>
      </c>
      <c r="T10" s="88"/>
      <c r="U10" s="88">
        <v>526</v>
      </c>
      <c r="V10" s="94">
        <f t="shared" si="2"/>
        <v>506</v>
      </c>
    </row>
    <row r="11" spans="1:25">
      <c r="B11" s="91" t="s">
        <v>3979</v>
      </c>
      <c r="C11" s="93">
        <v>106</v>
      </c>
      <c r="D11" s="88">
        <v>512</v>
      </c>
      <c r="E11" s="89">
        <v>124</v>
      </c>
      <c r="F11" s="89"/>
      <c r="G11" s="91" t="s">
        <v>235</v>
      </c>
      <c r="H11" s="88">
        <v>77</v>
      </c>
      <c r="I11" s="88">
        <v>527</v>
      </c>
      <c r="J11" s="89">
        <f t="shared" si="0"/>
        <v>207</v>
      </c>
      <c r="O11" s="91" t="s">
        <v>236</v>
      </c>
      <c r="P11" s="93">
        <v>56</v>
      </c>
      <c r="Q11" s="93">
        <v>551</v>
      </c>
      <c r="R11" s="94">
        <f t="shared" si="1"/>
        <v>407</v>
      </c>
      <c r="S11" s="91" t="s">
        <v>237</v>
      </c>
      <c r="T11" s="93">
        <v>132</v>
      </c>
      <c r="U11" s="95">
        <v>532</v>
      </c>
      <c r="V11" s="94">
        <f t="shared" si="2"/>
        <v>507</v>
      </c>
    </row>
    <row r="12" spans="1:25">
      <c r="B12" s="91" t="s">
        <v>3981</v>
      </c>
      <c r="C12" s="93">
        <v>107</v>
      </c>
      <c r="D12" s="88">
        <v>512</v>
      </c>
      <c r="E12" s="89">
        <v>125</v>
      </c>
      <c r="F12" s="89"/>
      <c r="G12" s="91" t="s">
        <v>239</v>
      </c>
      <c r="H12" s="88">
        <v>82</v>
      </c>
      <c r="I12" s="88">
        <v>543</v>
      </c>
      <c r="J12" s="89">
        <f t="shared" si="0"/>
        <v>208</v>
      </c>
      <c r="O12" s="91" t="s">
        <v>240</v>
      </c>
      <c r="P12" s="93">
        <v>59</v>
      </c>
      <c r="R12" s="94">
        <f t="shared" si="1"/>
        <v>408</v>
      </c>
      <c r="S12" s="91" t="s">
        <v>241</v>
      </c>
      <c r="T12" s="93">
        <v>135</v>
      </c>
      <c r="V12" s="94">
        <f t="shared" si="2"/>
        <v>508</v>
      </c>
    </row>
    <row r="13" spans="1:25">
      <c r="B13" s="91" t="s">
        <v>3983</v>
      </c>
      <c r="C13" s="93">
        <v>108</v>
      </c>
      <c r="D13" s="88">
        <v>512</v>
      </c>
      <c r="E13" s="89">
        <v>126</v>
      </c>
      <c r="F13" s="89"/>
      <c r="G13" s="91" t="s">
        <v>243</v>
      </c>
      <c r="I13" s="88">
        <v>550</v>
      </c>
      <c r="J13" s="89">
        <f t="shared" si="0"/>
        <v>209</v>
      </c>
      <c r="O13" s="91" t="s">
        <v>244</v>
      </c>
      <c r="P13" s="93">
        <v>71</v>
      </c>
      <c r="R13" s="94">
        <f t="shared" si="1"/>
        <v>409</v>
      </c>
      <c r="S13" s="96" t="s">
        <v>245</v>
      </c>
      <c r="U13" s="86">
        <v>554</v>
      </c>
      <c r="V13" s="94">
        <v>509</v>
      </c>
    </row>
    <row r="14" spans="1:25">
      <c r="B14" s="91" t="s">
        <v>3985</v>
      </c>
      <c r="C14" s="93">
        <v>109</v>
      </c>
      <c r="D14" s="88">
        <v>512</v>
      </c>
      <c r="E14" s="89">
        <v>127</v>
      </c>
      <c r="F14" s="89"/>
      <c r="G14" s="91" t="s">
        <v>247</v>
      </c>
      <c r="H14" s="88">
        <v>27</v>
      </c>
      <c r="I14" s="88">
        <v>501</v>
      </c>
      <c r="J14" s="89">
        <f t="shared" si="0"/>
        <v>210</v>
      </c>
      <c r="L14" s="97"/>
      <c r="O14" s="91" t="s">
        <v>248</v>
      </c>
      <c r="P14" s="93">
        <v>41</v>
      </c>
      <c r="Q14" s="93">
        <v>541</v>
      </c>
      <c r="R14" s="94">
        <f t="shared" si="1"/>
        <v>410</v>
      </c>
      <c r="S14" s="91" t="s">
        <v>249</v>
      </c>
      <c r="T14" s="93">
        <v>133</v>
      </c>
      <c r="V14" s="94">
        <v>510</v>
      </c>
    </row>
    <row r="15" spans="1:25">
      <c r="B15" s="91" t="s">
        <v>947</v>
      </c>
      <c r="C15" s="93">
        <v>110</v>
      </c>
      <c r="D15" s="88">
        <v>512</v>
      </c>
      <c r="E15" s="89">
        <v>128</v>
      </c>
      <c r="F15" s="89"/>
      <c r="G15" s="91" t="s">
        <v>251</v>
      </c>
      <c r="H15" s="88">
        <v>27</v>
      </c>
      <c r="I15" s="88">
        <v>506</v>
      </c>
      <c r="J15" s="89">
        <f t="shared" si="0"/>
        <v>211</v>
      </c>
      <c r="O15" s="91" t="s">
        <v>252</v>
      </c>
      <c r="P15" s="93">
        <v>44</v>
      </c>
      <c r="R15" s="94">
        <f t="shared" si="1"/>
        <v>411</v>
      </c>
      <c r="S15" s="91" t="s">
        <v>253</v>
      </c>
      <c r="T15" s="93">
        <v>133</v>
      </c>
      <c r="U15" s="93" t="s">
        <v>254</v>
      </c>
      <c r="V15" s="94">
        <v>511</v>
      </c>
      <c r="X15" s="95"/>
      <c r="Y15" s="91"/>
    </row>
    <row r="16" spans="1:25">
      <c r="B16" s="91" t="s">
        <v>3988</v>
      </c>
      <c r="C16" s="93">
        <v>111</v>
      </c>
      <c r="D16" s="88">
        <v>512</v>
      </c>
      <c r="E16" s="89">
        <v>129</v>
      </c>
      <c r="F16" s="89"/>
      <c r="G16" s="91" t="s">
        <v>256</v>
      </c>
      <c r="H16" s="88">
        <v>27</v>
      </c>
      <c r="I16" s="88">
        <v>505</v>
      </c>
      <c r="J16" s="89">
        <f t="shared" si="0"/>
        <v>212</v>
      </c>
      <c r="O16" s="91" t="s">
        <v>257</v>
      </c>
      <c r="P16" s="93">
        <v>43</v>
      </c>
      <c r="R16" s="94">
        <f t="shared" si="1"/>
        <v>412</v>
      </c>
    </row>
    <row r="17" spans="2:25">
      <c r="B17" s="91" t="s">
        <v>3990</v>
      </c>
      <c r="C17" s="93">
        <v>112</v>
      </c>
      <c r="D17" s="88">
        <v>512</v>
      </c>
      <c r="E17" s="89">
        <v>130</v>
      </c>
      <c r="F17" s="89"/>
      <c r="G17" s="91" t="s">
        <v>259</v>
      </c>
      <c r="H17" s="88">
        <v>27</v>
      </c>
      <c r="I17" s="88">
        <v>504</v>
      </c>
      <c r="J17" s="89">
        <f t="shared" si="0"/>
        <v>213</v>
      </c>
      <c r="O17" s="91" t="s">
        <v>260</v>
      </c>
      <c r="P17" s="93">
        <v>42</v>
      </c>
      <c r="R17" s="94">
        <f t="shared" si="1"/>
        <v>413</v>
      </c>
      <c r="X17" s="95"/>
    </row>
    <row r="18" spans="2:25">
      <c r="B18" s="91" t="s">
        <v>3992</v>
      </c>
      <c r="C18" s="93">
        <v>113</v>
      </c>
      <c r="D18" s="88">
        <v>512</v>
      </c>
      <c r="E18" s="89">
        <v>131</v>
      </c>
      <c r="F18" s="89"/>
      <c r="G18" s="91" t="s">
        <v>263</v>
      </c>
      <c r="H18" s="88">
        <v>27</v>
      </c>
      <c r="I18" s="88">
        <v>503</v>
      </c>
      <c r="J18" s="89">
        <f t="shared" si="0"/>
        <v>214</v>
      </c>
      <c r="O18" s="91" t="s">
        <v>264</v>
      </c>
      <c r="P18" s="93">
        <v>45</v>
      </c>
      <c r="Q18" s="93">
        <v>537</v>
      </c>
      <c r="R18" s="94">
        <f t="shared" si="1"/>
        <v>414</v>
      </c>
      <c r="X18" s="95"/>
      <c r="Y18" s="91"/>
    </row>
    <row r="19" spans="2:25">
      <c r="B19" s="91" t="s">
        <v>3994</v>
      </c>
      <c r="C19" s="93">
        <v>114</v>
      </c>
      <c r="D19" s="88">
        <v>512</v>
      </c>
      <c r="E19" s="89">
        <v>132</v>
      </c>
      <c r="F19" s="89"/>
      <c r="G19" s="91" t="s">
        <v>266</v>
      </c>
      <c r="H19" s="88">
        <v>27</v>
      </c>
      <c r="I19" s="88">
        <v>502</v>
      </c>
      <c r="J19" s="89">
        <f t="shared" si="0"/>
        <v>215</v>
      </c>
      <c r="O19" s="91" t="s">
        <v>267</v>
      </c>
      <c r="P19" s="93">
        <v>46</v>
      </c>
      <c r="R19" s="94">
        <f t="shared" si="1"/>
        <v>415</v>
      </c>
      <c r="X19" s="95"/>
      <c r="Y19" s="91"/>
    </row>
    <row r="20" spans="2:25">
      <c r="B20" s="91" t="s">
        <v>3996</v>
      </c>
      <c r="C20" s="93">
        <v>122</v>
      </c>
      <c r="D20" s="88">
        <v>512</v>
      </c>
      <c r="E20" s="89">
        <v>133</v>
      </c>
      <c r="F20" s="89"/>
      <c r="G20" s="91" t="s">
        <v>2233</v>
      </c>
      <c r="I20" s="88">
        <v>509</v>
      </c>
      <c r="J20" s="89">
        <f t="shared" si="0"/>
        <v>216</v>
      </c>
      <c r="K20" s="91"/>
      <c r="O20" s="91" t="s">
        <v>2234</v>
      </c>
      <c r="P20" s="88">
        <v>31</v>
      </c>
      <c r="R20" s="94">
        <f t="shared" si="1"/>
        <v>416</v>
      </c>
    </row>
    <row r="21" spans="2:25">
      <c r="B21" s="91" t="s">
        <v>3998</v>
      </c>
      <c r="C21" s="93">
        <v>124</v>
      </c>
      <c r="D21" s="88">
        <v>512</v>
      </c>
      <c r="E21" s="89">
        <v>134</v>
      </c>
      <c r="F21" s="89"/>
      <c r="G21" s="91" t="s">
        <v>2236</v>
      </c>
      <c r="H21" s="88">
        <v>73</v>
      </c>
      <c r="I21" s="88">
        <v>511</v>
      </c>
      <c r="J21" s="89">
        <f t="shared" si="0"/>
        <v>217</v>
      </c>
      <c r="K21" s="91"/>
      <c r="O21" s="91" t="s">
        <v>2237</v>
      </c>
      <c r="P21" s="88">
        <v>35</v>
      </c>
      <c r="R21" s="94">
        <f t="shared" si="1"/>
        <v>417</v>
      </c>
    </row>
    <row r="22" spans="2:25">
      <c r="B22" s="91" t="s">
        <v>4000</v>
      </c>
      <c r="C22" s="93">
        <v>125</v>
      </c>
      <c r="D22" s="88">
        <v>512</v>
      </c>
      <c r="E22" s="89">
        <v>135</v>
      </c>
      <c r="F22" s="89"/>
      <c r="G22" s="91" t="s">
        <v>2239</v>
      </c>
      <c r="H22" s="88">
        <v>73</v>
      </c>
      <c r="I22" s="95">
        <v>510</v>
      </c>
      <c r="J22" s="89">
        <f t="shared" si="0"/>
        <v>218</v>
      </c>
      <c r="O22" s="91" t="s">
        <v>2240</v>
      </c>
      <c r="P22" s="88">
        <v>33</v>
      </c>
      <c r="R22" s="94">
        <f t="shared" si="1"/>
        <v>418</v>
      </c>
      <c r="X22" s="98"/>
      <c r="Y22" s="99"/>
    </row>
    <row r="23" spans="2:25">
      <c r="B23" s="91" t="s">
        <v>4002</v>
      </c>
      <c r="C23" s="93">
        <v>127</v>
      </c>
      <c r="D23" s="88">
        <v>512</v>
      </c>
      <c r="E23" s="89">
        <v>136</v>
      </c>
      <c r="F23" s="89"/>
      <c r="G23" s="91" t="s">
        <v>2242</v>
      </c>
      <c r="I23" s="95">
        <v>546</v>
      </c>
      <c r="J23" s="89">
        <f t="shared" si="0"/>
        <v>219</v>
      </c>
      <c r="O23" s="91" t="s">
        <v>2243</v>
      </c>
      <c r="P23" s="88">
        <v>34</v>
      </c>
      <c r="R23" s="94">
        <f t="shared" si="1"/>
        <v>419</v>
      </c>
      <c r="X23" s="100"/>
    </row>
    <row r="24" spans="2:25">
      <c r="B24" s="91" t="s">
        <v>4004</v>
      </c>
      <c r="C24" s="93">
        <v>128</v>
      </c>
      <c r="D24" s="88">
        <v>512</v>
      </c>
      <c r="E24" s="89">
        <v>137</v>
      </c>
      <c r="F24" s="89"/>
      <c r="G24" s="91" t="s">
        <v>2244</v>
      </c>
      <c r="I24" s="88">
        <v>556</v>
      </c>
      <c r="J24" s="89">
        <f t="shared" si="0"/>
        <v>220</v>
      </c>
      <c r="O24" s="91" t="s">
        <v>2245</v>
      </c>
      <c r="P24" s="88">
        <v>36</v>
      </c>
      <c r="R24" s="94">
        <f t="shared" si="1"/>
        <v>420</v>
      </c>
    </row>
    <row r="25" spans="2:25">
      <c r="B25" s="101" t="s">
        <v>718</v>
      </c>
      <c r="C25" s="88">
        <v>129</v>
      </c>
      <c r="D25" s="88">
        <v>512</v>
      </c>
      <c r="E25" s="89">
        <v>138</v>
      </c>
      <c r="F25" s="89"/>
      <c r="G25" s="91" t="s">
        <v>2247</v>
      </c>
      <c r="I25" s="88">
        <v>552</v>
      </c>
      <c r="J25" s="89">
        <f t="shared" si="0"/>
        <v>221</v>
      </c>
      <c r="R25" s="94"/>
      <c r="X25" s="102"/>
      <c r="Y25" s="99"/>
    </row>
    <row r="26" spans="2:25">
      <c r="B26" s="91" t="s">
        <v>720</v>
      </c>
      <c r="C26" s="93">
        <v>130</v>
      </c>
      <c r="E26" s="89">
        <v>139</v>
      </c>
      <c r="F26" s="89"/>
      <c r="G26" s="91" t="s">
        <v>2249</v>
      </c>
      <c r="H26" s="88">
        <v>79</v>
      </c>
      <c r="I26" s="88">
        <v>525</v>
      </c>
      <c r="J26" s="89">
        <f t="shared" si="0"/>
        <v>222</v>
      </c>
      <c r="K26" s="91"/>
      <c r="L26" s="88"/>
      <c r="M26" s="88"/>
      <c r="O26" s="91" t="s">
        <v>1794</v>
      </c>
    </row>
    <row r="27" spans="2:25">
      <c r="B27" s="91" t="s">
        <v>722</v>
      </c>
      <c r="C27" s="88">
        <v>60</v>
      </c>
      <c r="D27" s="88">
        <v>555</v>
      </c>
      <c r="E27" s="89">
        <v>140</v>
      </c>
      <c r="F27" s="89"/>
      <c r="G27" s="91" t="s">
        <v>2251</v>
      </c>
      <c r="H27" s="88">
        <v>78</v>
      </c>
      <c r="I27" s="88">
        <v>528</v>
      </c>
      <c r="J27" s="89">
        <f t="shared" si="0"/>
        <v>223</v>
      </c>
      <c r="K27" s="91"/>
      <c r="L27" s="88"/>
      <c r="M27" s="88"/>
      <c r="O27" s="91" t="s">
        <v>3402</v>
      </c>
      <c r="P27" s="88">
        <v>1</v>
      </c>
      <c r="Q27" s="88">
        <v>601</v>
      </c>
      <c r="R27" s="89">
        <v>101</v>
      </c>
    </row>
    <row r="28" spans="2:25">
      <c r="B28" s="91" t="s">
        <v>2480</v>
      </c>
      <c r="C28" s="88">
        <v>131</v>
      </c>
      <c r="D28" s="88">
        <v>531</v>
      </c>
      <c r="E28" s="89">
        <v>141</v>
      </c>
      <c r="F28" s="89"/>
      <c r="G28" s="91" t="s">
        <v>3980</v>
      </c>
      <c r="H28" s="88">
        <v>72</v>
      </c>
      <c r="J28" s="89">
        <f t="shared" si="0"/>
        <v>224</v>
      </c>
      <c r="K28" s="91"/>
      <c r="L28" s="88"/>
      <c r="M28" s="88"/>
      <c r="O28" s="86" t="s">
        <v>3408</v>
      </c>
      <c r="P28" s="88">
        <v>1</v>
      </c>
      <c r="Q28" s="88">
        <v>601</v>
      </c>
      <c r="R28" s="89">
        <f t="shared" ref="R28:R43" si="3">R27+1</f>
        <v>102</v>
      </c>
      <c r="X28" s="90"/>
      <c r="Y28" s="90"/>
    </row>
    <row r="29" spans="2:25">
      <c r="B29" s="91" t="s">
        <v>2481</v>
      </c>
      <c r="C29" s="88">
        <v>150</v>
      </c>
      <c r="D29" s="88">
        <v>522</v>
      </c>
      <c r="E29" s="89">
        <v>142</v>
      </c>
      <c r="F29" s="89"/>
      <c r="G29" s="91" t="s">
        <v>3982</v>
      </c>
      <c r="H29" s="88">
        <v>21</v>
      </c>
      <c r="I29" s="88">
        <v>521</v>
      </c>
      <c r="J29" s="89">
        <f t="shared" si="0"/>
        <v>225</v>
      </c>
      <c r="K29" s="91"/>
      <c r="L29" s="88"/>
      <c r="M29" s="88"/>
      <c r="O29" s="103" t="s">
        <v>3413</v>
      </c>
      <c r="P29" s="88">
        <v>1</v>
      </c>
      <c r="Q29" s="88">
        <v>601</v>
      </c>
      <c r="R29" s="89">
        <f t="shared" si="3"/>
        <v>103</v>
      </c>
    </row>
    <row r="30" spans="2:25">
      <c r="B30" s="91" t="s">
        <v>2482</v>
      </c>
      <c r="C30" s="93">
        <v>138</v>
      </c>
      <c r="E30" s="89">
        <v>143</v>
      </c>
      <c r="F30" s="89"/>
      <c r="G30" s="91" t="s">
        <v>3984</v>
      </c>
      <c r="J30" s="89">
        <f t="shared" si="0"/>
        <v>226</v>
      </c>
      <c r="K30" s="91"/>
      <c r="L30" s="88"/>
      <c r="M30" s="88"/>
      <c r="O30" s="91" t="s">
        <v>155</v>
      </c>
      <c r="P30" s="104" t="s">
        <v>156</v>
      </c>
      <c r="Q30" s="88">
        <v>601</v>
      </c>
      <c r="R30" s="89">
        <f t="shared" si="3"/>
        <v>104</v>
      </c>
    </row>
    <row r="31" spans="2:25">
      <c r="B31" s="91" t="s">
        <v>2483</v>
      </c>
      <c r="C31" s="93">
        <v>84</v>
      </c>
      <c r="D31" s="88">
        <v>523</v>
      </c>
      <c r="E31" s="89">
        <v>144</v>
      </c>
      <c r="F31" s="89"/>
      <c r="G31" s="91" t="s">
        <v>3986</v>
      </c>
      <c r="H31" s="93">
        <v>81</v>
      </c>
      <c r="I31" s="88">
        <v>519</v>
      </c>
      <c r="J31" s="89">
        <f t="shared" si="0"/>
        <v>227</v>
      </c>
      <c r="K31" s="91"/>
      <c r="L31" s="88"/>
      <c r="M31" s="88"/>
      <c r="O31" s="91" t="s">
        <v>162</v>
      </c>
      <c r="P31" s="88">
        <v>3</v>
      </c>
      <c r="Q31" s="88">
        <v>601</v>
      </c>
      <c r="R31" s="89">
        <f t="shared" si="3"/>
        <v>105</v>
      </c>
    </row>
    <row r="32" spans="2:25">
      <c r="B32" s="91" t="s">
        <v>2484</v>
      </c>
      <c r="C32" s="88">
        <v>85</v>
      </c>
      <c r="D32" s="88">
        <v>585</v>
      </c>
      <c r="E32" s="89">
        <v>145</v>
      </c>
      <c r="F32" s="89"/>
      <c r="G32" s="91" t="s">
        <v>3987</v>
      </c>
      <c r="H32" s="88">
        <v>130</v>
      </c>
      <c r="I32" s="95">
        <v>538</v>
      </c>
      <c r="J32" s="89">
        <f t="shared" si="0"/>
        <v>228</v>
      </c>
      <c r="K32" s="91"/>
      <c r="L32" s="88"/>
      <c r="M32" s="88"/>
      <c r="O32" s="91" t="s">
        <v>166</v>
      </c>
      <c r="P32" s="88">
        <v>4</v>
      </c>
      <c r="Q32" s="88">
        <v>601</v>
      </c>
      <c r="R32" s="89">
        <f t="shared" si="3"/>
        <v>106</v>
      </c>
      <c r="X32" s="95"/>
      <c r="Y32" s="96"/>
    </row>
    <row r="33" spans="2:24">
      <c r="B33" s="91" t="s">
        <v>2485</v>
      </c>
      <c r="C33" s="88">
        <v>75</v>
      </c>
      <c r="D33" s="88">
        <v>575</v>
      </c>
      <c r="E33" s="89">
        <v>146</v>
      </c>
      <c r="F33" s="89"/>
      <c r="G33" s="91" t="s">
        <v>3989</v>
      </c>
      <c r="H33" s="88">
        <v>130</v>
      </c>
      <c r="I33" s="95">
        <v>539</v>
      </c>
      <c r="J33" s="89">
        <f t="shared" si="0"/>
        <v>229</v>
      </c>
      <c r="K33" s="91"/>
      <c r="L33" s="88"/>
      <c r="M33" s="95"/>
      <c r="O33" s="91" t="s">
        <v>234</v>
      </c>
      <c r="P33" s="88">
        <v>6</v>
      </c>
      <c r="Q33" s="88">
        <v>601</v>
      </c>
      <c r="R33" s="89">
        <f t="shared" si="3"/>
        <v>107</v>
      </c>
      <c r="X33" s="105"/>
    </row>
    <row r="34" spans="2:24">
      <c r="B34" s="91" t="s">
        <v>2486</v>
      </c>
      <c r="C34" s="93">
        <v>24</v>
      </c>
      <c r="D34" s="88">
        <v>524</v>
      </c>
      <c r="E34" s="89">
        <v>147</v>
      </c>
      <c r="F34" s="89"/>
      <c r="G34" s="91" t="s">
        <v>3991</v>
      </c>
      <c r="H34" s="88">
        <v>86</v>
      </c>
      <c r="I34" s="88">
        <v>540</v>
      </c>
      <c r="J34" s="89">
        <f t="shared" si="0"/>
        <v>230</v>
      </c>
      <c r="K34" s="91"/>
      <c r="L34" s="88"/>
      <c r="M34" s="88"/>
      <c r="O34" s="91" t="s">
        <v>238</v>
      </c>
      <c r="P34" s="88">
        <v>7</v>
      </c>
      <c r="Q34" s="88">
        <v>601</v>
      </c>
      <c r="R34" s="89">
        <f t="shared" si="3"/>
        <v>108</v>
      </c>
      <c r="X34" s="105"/>
    </row>
    <row r="35" spans="2:24">
      <c r="B35" s="91" t="s">
        <v>2487</v>
      </c>
      <c r="C35" s="88">
        <v>87</v>
      </c>
      <c r="D35" s="88">
        <v>542</v>
      </c>
      <c r="E35" s="89">
        <v>148</v>
      </c>
      <c r="F35" s="89"/>
      <c r="G35" s="91" t="s">
        <v>3993</v>
      </c>
      <c r="I35" s="88">
        <v>547</v>
      </c>
      <c r="J35" s="89">
        <f t="shared" si="0"/>
        <v>231</v>
      </c>
      <c r="K35" s="91"/>
      <c r="L35" s="88"/>
      <c r="M35" s="88"/>
      <c r="O35" s="91" t="s">
        <v>242</v>
      </c>
      <c r="P35" s="88">
        <v>8</v>
      </c>
      <c r="Q35" s="88">
        <v>601</v>
      </c>
      <c r="R35" s="89">
        <f t="shared" si="3"/>
        <v>109</v>
      </c>
      <c r="X35" s="105"/>
    </row>
    <row r="36" spans="2:24">
      <c r="B36" s="91" t="s">
        <v>2488</v>
      </c>
      <c r="C36" s="88">
        <v>25</v>
      </c>
      <c r="D36" s="88">
        <v>508</v>
      </c>
      <c r="E36" s="89">
        <v>149</v>
      </c>
      <c r="F36" s="89"/>
      <c r="G36" s="91" t="s">
        <v>3995</v>
      </c>
      <c r="H36" s="88">
        <v>86</v>
      </c>
      <c r="I36" s="95">
        <v>544</v>
      </c>
      <c r="J36" s="89">
        <f t="shared" si="0"/>
        <v>232</v>
      </c>
      <c r="K36" s="91"/>
      <c r="L36" s="88"/>
      <c r="M36" s="88"/>
      <c r="O36" s="91" t="s">
        <v>246</v>
      </c>
      <c r="P36" s="88">
        <v>9</v>
      </c>
      <c r="Q36" s="88">
        <v>601</v>
      </c>
      <c r="R36" s="89">
        <f t="shared" si="3"/>
        <v>110</v>
      </c>
      <c r="X36" s="105"/>
    </row>
    <row r="37" spans="2:24">
      <c r="B37" s="91" t="s">
        <v>2489</v>
      </c>
      <c r="C37" s="88">
        <v>23</v>
      </c>
      <c r="E37" s="89">
        <v>150</v>
      </c>
      <c r="F37" s="89"/>
      <c r="G37" s="91" t="s">
        <v>3997</v>
      </c>
      <c r="H37" s="88">
        <v>26</v>
      </c>
      <c r="I37" s="88">
        <v>515</v>
      </c>
      <c r="J37" s="89">
        <f t="shared" si="0"/>
        <v>233</v>
      </c>
      <c r="K37" s="91"/>
      <c r="L37" s="88"/>
      <c r="M37" s="88"/>
      <c r="O37" s="91" t="s">
        <v>250</v>
      </c>
      <c r="P37" s="88">
        <v>10</v>
      </c>
      <c r="Q37" s="88">
        <v>601</v>
      </c>
      <c r="R37" s="89">
        <f t="shared" si="3"/>
        <v>111</v>
      </c>
    </row>
    <row r="38" spans="2:24">
      <c r="B38" s="91" t="s">
        <v>2490</v>
      </c>
      <c r="C38" s="88">
        <v>83</v>
      </c>
      <c r="D38" s="88">
        <v>549</v>
      </c>
      <c r="E38" s="89">
        <v>151</v>
      </c>
      <c r="F38" s="89"/>
      <c r="G38" s="91" t="s">
        <v>3999</v>
      </c>
      <c r="H38" s="88">
        <v>26</v>
      </c>
      <c r="I38" s="88">
        <v>514</v>
      </c>
      <c r="J38" s="89">
        <f t="shared" si="0"/>
        <v>234</v>
      </c>
      <c r="K38" s="91"/>
      <c r="L38" s="88"/>
      <c r="M38" s="88"/>
      <c r="O38" s="91" t="s">
        <v>255</v>
      </c>
      <c r="P38" s="88">
        <v>11</v>
      </c>
      <c r="Q38" s="88">
        <v>601</v>
      </c>
      <c r="R38" s="89">
        <f t="shared" si="3"/>
        <v>112</v>
      </c>
    </row>
    <row r="39" spans="2:24">
      <c r="B39" s="91" t="s">
        <v>2491</v>
      </c>
      <c r="C39" s="88">
        <v>80</v>
      </c>
      <c r="D39" s="88">
        <v>534</v>
      </c>
      <c r="E39" s="89">
        <v>152</v>
      </c>
      <c r="F39" s="89"/>
      <c r="G39" s="91" t="s">
        <v>4001</v>
      </c>
      <c r="H39" s="88">
        <v>74</v>
      </c>
      <c r="I39" s="95">
        <v>574</v>
      </c>
      <c r="J39" s="89">
        <f t="shared" si="0"/>
        <v>235</v>
      </c>
      <c r="K39" s="101"/>
      <c r="L39" s="88"/>
      <c r="M39" s="88"/>
      <c r="O39" s="91" t="s">
        <v>258</v>
      </c>
      <c r="P39" s="88">
        <v>12</v>
      </c>
      <c r="Q39" s="88">
        <v>601</v>
      </c>
      <c r="R39" s="89">
        <f t="shared" si="3"/>
        <v>113</v>
      </c>
    </row>
    <row r="40" spans="2:24">
      <c r="B40" s="91" t="s">
        <v>2492</v>
      </c>
      <c r="C40" s="93">
        <v>22</v>
      </c>
      <c r="D40" s="88">
        <v>520</v>
      </c>
      <c r="E40" s="89">
        <v>153</v>
      </c>
      <c r="F40" s="89"/>
      <c r="G40" s="91" t="s">
        <v>4003</v>
      </c>
      <c r="H40" s="88">
        <v>29</v>
      </c>
      <c r="I40" s="88">
        <v>517</v>
      </c>
      <c r="J40" s="89">
        <f t="shared" si="0"/>
        <v>236</v>
      </c>
      <c r="K40" s="91"/>
      <c r="L40" s="93"/>
      <c r="M40" s="88"/>
      <c r="O40" s="91" t="s">
        <v>261</v>
      </c>
      <c r="P40" s="92" t="s">
        <v>262</v>
      </c>
      <c r="Q40" s="88">
        <v>601</v>
      </c>
      <c r="R40" s="89">
        <f t="shared" si="3"/>
        <v>114</v>
      </c>
    </row>
    <row r="41" spans="2:24">
      <c r="B41" s="91" t="s">
        <v>2493</v>
      </c>
      <c r="C41" s="88">
        <v>48</v>
      </c>
      <c r="D41" s="88">
        <v>535</v>
      </c>
      <c r="E41" s="89">
        <v>154</v>
      </c>
      <c r="F41" s="89"/>
      <c r="G41" s="91" t="s">
        <v>717</v>
      </c>
      <c r="H41" s="88">
        <v>29</v>
      </c>
      <c r="I41" s="88">
        <v>518</v>
      </c>
      <c r="J41" s="89">
        <f t="shared" si="0"/>
        <v>237</v>
      </c>
      <c r="K41" s="91"/>
      <c r="L41" s="88"/>
      <c r="M41" s="88"/>
      <c r="O41" s="91" t="s">
        <v>265</v>
      </c>
      <c r="P41" s="88">
        <v>20</v>
      </c>
      <c r="Q41" s="88">
        <v>601</v>
      </c>
      <c r="R41" s="89">
        <f t="shared" si="3"/>
        <v>115</v>
      </c>
    </row>
    <row r="42" spans="2:24">
      <c r="B42" s="91" t="s">
        <v>2494</v>
      </c>
      <c r="C42" s="93">
        <v>32</v>
      </c>
      <c r="E42" s="89">
        <v>155</v>
      </c>
      <c r="F42" s="89"/>
      <c r="G42" s="91" t="s">
        <v>719</v>
      </c>
      <c r="H42" s="88">
        <v>29</v>
      </c>
      <c r="I42" s="88">
        <v>516</v>
      </c>
      <c r="J42" s="89">
        <f t="shared" si="0"/>
        <v>238</v>
      </c>
      <c r="K42" s="91"/>
      <c r="L42" s="88"/>
      <c r="M42" s="88"/>
      <c r="O42" s="91" t="s">
        <v>2232</v>
      </c>
      <c r="P42" s="88">
        <v>14</v>
      </c>
      <c r="Q42" s="88">
        <v>601</v>
      </c>
      <c r="R42" s="89">
        <f t="shared" si="3"/>
        <v>116</v>
      </c>
    </row>
    <row r="43" spans="2:24">
      <c r="B43" s="91" t="s">
        <v>2495</v>
      </c>
      <c r="C43" s="88">
        <v>49</v>
      </c>
      <c r="E43" s="89">
        <v>156</v>
      </c>
      <c r="F43" s="89"/>
      <c r="G43" s="91" t="s">
        <v>721</v>
      </c>
      <c r="I43" s="88">
        <v>529</v>
      </c>
      <c r="J43" s="89">
        <v>239</v>
      </c>
      <c r="K43" s="91"/>
      <c r="L43" s="88"/>
      <c r="M43" s="88"/>
      <c r="O43" s="91" t="s">
        <v>2235</v>
      </c>
      <c r="P43" s="88">
        <v>13</v>
      </c>
      <c r="Q43" s="88">
        <v>601</v>
      </c>
      <c r="R43" s="89">
        <f t="shared" si="3"/>
        <v>117</v>
      </c>
    </row>
    <row r="44" spans="2:24">
      <c r="B44" s="91" t="s">
        <v>2496</v>
      </c>
      <c r="C44" s="93">
        <v>89</v>
      </c>
      <c r="E44" s="89">
        <v>157</v>
      </c>
      <c r="F44" s="89"/>
      <c r="J44" s="89"/>
      <c r="K44" s="91"/>
      <c r="L44" s="88"/>
      <c r="M44" s="95"/>
    </row>
    <row r="45" spans="2:24">
      <c r="B45" s="86" t="s">
        <v>2497</v>
      </c>
      <c r="C45" s="88">
        <v>50</v>
      </c>
      <c r="E45" s="100">
        <v>158</v>
      </c>
      <c r="I45" s="95"/>
      <c r="J45" s="89"/>
      <c r="K45" s="91"/>
      <c r="L45" s="88"/>
      <c r="M45" s="88"/>
    </row>
    <row r="46" spans="2:24">
      <c r="K46" s="91"/>
      <c r="L46" s="88"/>
      <c r="M46" s="88"/>
    </row>
    <row r="47" spans="2:24">
      <c r="K47" s="91"/>
      <c r="L47" s="88"/>
      <c r="M47" s="88"/>
    </row>
    <row r="48" spans="2:24">
      <c r="K48" s="91"/>
      <c r="L48" s="88"/>
      <c r="M48" s="95"/>
    </row>
    <row r="49" spans="5:17">
      <c r="E49" s="89"/>
      <c r="F49" s="89"/>
      <c r="K49" s="91"/>
      <c r="L49" s="88"/>
      <c r="M49" s="88"/>
      <c r="Q49" s="88"/>
    </row>
    <row r="50" spans="5:17">
      <c r="K50" s="91"/>
      <c r="L50" s="88"/>
      <c r="M50" s="88"/>
    </row>
    <row r="51" spans="5:17">
      <c r="K51" s="91"/>
      <c r="L51" s="88"/>
      <c r="M51" s="88"/>
    </row>
    <row r="52" spans="5:17">
      <c r="K52" s="91"/>
      <c r="L52" s="93"/>
      <c r="M52" s="88"/>
    </row>
    <row r="53" spans="5:17">
      <c r="K53" s="91"/>
      <c r="L53" s="88"/>
      <c r="M53" s="88"/>
    </row>
    <row r="54" spans="5:17">
      <c r="K54" s="91"/>
      <c r="L54" s="88"/>
      <c r="M54" s="88"/>
    </row>
    <row r="55" spans="5:17">
      <c r="K55" s="91"/>
      <c r="L55" s="88"/>
      <c r="M55" s="95"/>
    </row>
    <row r="56" spans="5:17">
      <c r="K56" s="91"/>
      <c r="L56" s="88"/>
      <c r="M56" s="95"/>
    </row>
    <row r="57" spans="5:17">
      <c r="K57" s="91"/>
      <c r="L57" s="88"/>
      <c r="M57" s="88"/>
    </row>
    <row r="58" spans="5:17">
      <c r="K58" s="91"/>
      <c r="L58" s="88"/>
      <c r="M58" s="88"/>
    </row>
    <row r="59" spans="5:17">
      <c r="K59" s="91"/>
      <c r="L59" s="88"/>
      <c r="M59" s="88"/>
    </row>
    <row r="60" spans="5:17">
      <c r="K60" s="91"/>
    </row>
    <row r="61" spans="5:17">
      <c r="K61" s="91"/>
    </row>
    <row r="62" spans="5:17">
      <c r="K62" s="91"/>
      <c r="L62" s="88"/>
      <c r="M62" s="88"/>
    </row>
    <row r="63" spans="5:17">
      <c r="K63" s="91"/>
    </row>
    <row r="64" spans="5:17">
      <c r="K64" s="91"/>
    </row>
    <row r="65" spans="11:13">
      <c r="K65" s="91"/>
    </row>
    <row r="66" spans="11:13">
      <c r="K66" s="91"/>
      <c r="L66" s="88"/>
      <c r="M66" s="95"/>
    </row>
  </sheetData>
  <sheetProtection password="C620" sheet="1" objects="1" scenarios="1"/>
  <mergeCells count="5">
    <mergeCell ref="S1:V1"/>
    <mergeCell ref="B1:E1"/>
    <mergeCell ref="G1:J1"/>
    <mergeCell ref="K1:N1"/>
    <mergeCell ref="O1:R1"/>
  </mergeCells>
  <phoneticPr fontId="19"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defaultColWidth="11.42578125" defaultRowHeight="12.75"/>
  <cols>
    <col min="1" max="1" width="42.140625" style="312" bestFit="1" customWidth="1"/>
    <col min="2" max="2" width="14" style="312" bestFit="1" customWidth="1"/>
    <col min="3" max="3" width="17.42578125" style="312" customWidth="1"/>
    <col min="4" max="4" width="14" style="313" hidden="1" customWidth="1"/>
    <col min="5" max="5" width="16.42578125" style="330" hidden="1" customWidth="1"/>
    <col min="6" max="6" width="14" style="331" hidden="1" customWidth="1"/>
    <col min="7" max="9" width="14" style="312" hidden="1" customWidth="1"/>
    <col min="10" max="10" width="0" style="312" hidden="1" customWidth="1"/>
    <col min="11" max="11" width="21.5703125" style="312" customWidth="1"/>
    <col min="12" max="12" width="30.85546875" style="322" bestFit="1" customWidth="1"/>
    <col min="13" max="13" width="18.7109375" style="312" bestFit="1" customWidth="1"/>
    <col min="14" max="14" width="13" style="312" bestFit="1" customWidth="1"/>
    <col min="15" max="15" width="24.42578125" style="322" bestFit="1" customWidth="1"/>
    <col min="16" max="16" width="48.140625" style="365" bestFit="1" customWidth="1"/>
    <col min="17" max="17" width="35.85546875" style="365" bestFit="1" customWidth="1"/>
    <col min="18" max="18" width="15.42578125" style="329" bestFit="1" customWidth="1"/>
    <col min="19" max="19" width="17.42578125" style="329" bestFit="1" customWidth="1"/>
    <col min="20" max="20" width="14.5703125" style="312" bestFit="1" customWidth="1"/>
    <col min="21" max="22" width="17.42578125" style="312" bestFit="1" customWidth="1"/>
    <col min="23" max="23" width="15.7109375" style="312" bestFit="1" customWidth="1"/>
    <col min="24" max="24" width="17.140625" style="312" bestFit="1" customWidth="1"/>
    <col min="25" max="25" width="29.5703125" style="312" bestFit="1" customWidth="1"/>
    <col min="26" max="26" width="9.5703125" style="312" bestFit="1" customWidth="1"/>
    <col min="27" max="27" width="17.5703125" style="312" bestFit="1" customWidth="1"/>
    <col min="28" max="28" width="8.140625" style="312" bestFit="1" customWidth="1"/>
    <col min="29" max="29" width="21.7109375" style="312" bestFit="1" customWidth="1"/>
    <col min="30" max="30" width="20.28515625" style="312" bestFit="1" customWidth="1"/>
    <col min="31" max="31" width="23" style="312" bestFit="1" customWidth="1"/>
    <col min="32" max="32" width="27.140625" style="312" bestFit="1" customWidth="1"/>
    <col min="33" max="33" width="14.42578125" style="312" bestFit="1" customWidth="1"/>
    <col min="34" max="34" width="29.140625" style="312" bestFit="1" customWidth="1"/>
    <col min="35" max="35" width="29.140625" style="312" customWidth="1"/>
    <col min="36" max="36" width="31.7109375" style="312" bestFit="1" customWidth="1"/>
    <col min="37" max="37" width="25.85546875" style="312" bestFit="1" customWidth="1"/>
    <col min="38" max="38" width="27.28515625" style="312" bestFit="1" customWidth="1"/>
    <col min="39" max="39" width="27.140625" style="312" bestFit="1" customWidth="1"/>
    <col min="40" max="40" width="25.140625" style="312" bestFit="1" customWidth="1"/>
    <col min="41" max="41" width="12" style="312" bestFit="1" customWidth="1"/>
    <col min="42" max="42" width="16" style="312" bestFit="1" customWidth="1"/>
    <col min="43" max="43" width="22.5703125" style="312" bestFit="1" customWidth="1"/>
    <col min="44" max="44" width="23" style="312" bestFit="1" customWidth="1"/>
    <col min="45" max="45" width="14.5703125" style="312" bestFit="1" customWidth="1"/>
    <col min="46" max="46" width="18.140625" style="312" bestFit="1" customWidth="1"/>
    <col min="47" max="47" width="17.42578125" style="312" bestFit="1" customWidth="1"/>
    <col min="48" max="48" width="18.140625" style="312" bestFit="1" customWidth="1"/>
    <col min="49" max="49" width="22.42578125" style="312" bestFit="1" customWidth="1"/>
    <col min="50" max="50" width="11" style="312" bestFit="1" customWidth="1"/>
    <col min="51" max="51" width="14.7109375" style="312" bestFit="1" customWidth="1"/>
    <col min="52" max="52" width="18" style="312" bestFit="1" customWidth="1"/>
    <col min="53" max="53" width="14.7109375" style="312" bestFit="1" customWidth="1"/>
    <col min="54" max="56" width="11.42578125" style="312" customWidth="1"/>
    <col min="57" max="58" width="11.5703125" style="312" bestFit="1" customWidth="1"/>
    <col min="59" max="59" width="11.7109375" style="312" bestFit="1" customWidth="1"/>
    <col min="60" max="61" width="11.5703125" style="312" bestFit="1" customWidth="1"/>
    <col min="62" max="62" width="11.7109375" style="312" bestFit="1" customWidth="1"/>
    <col min="63" max="63" width="11.5703125" style="312" bestFit="1" customWidth="1"/>
    <col min="64" max="66" width="11.7109375" style="312" bestFit="1" customWidth="1"/>
    <col min="67" max="16384" width="11.42578125" style="312"/>
  </cols>
  <sheetData>
    <row r="1" spans="1:71">
      <c r="E1" s="314"/>
      <c r="F1" s="315"/>
      <c r="J1" s="316"/>
      <c r="K1" s="317"/>
      <c r="L1" s="317"/>
      <c r="M1" s="316"/>
      <c r="O1" s="317"/>
      <c r="P1" s="318"/>
      <c r="Q1" s="317"/>
      <c r="R1" s="319"/>
      <c r="S1" s="319"/>
    </row>
    <row r="2" spans="1:71">
      <c r="E2" s="314"/>
      <c r="F2" s="315"/>
      <c r="J2" s="316"/>
      <c r="K2" s="316"/>
      <c r="L2" s="317"/>
      <c r="M2" s="316"/>
      <c r="O2" s="317"/>
      <c r="P2" s="318"/>
      <c r="Q2" s="317"/>
      <c r="R2" s="319"/>
      <c r="S2" s="319"/>
    </row>
    <row r="3" spans="1:71">
      <c r="E3" s="314"/>
      <c r="F3" s="315"/>
      <c r="J3" s="316"/>
      <c r="K3" s="317"/>
      <c r="L3" s="317"/>
      <c r="M3" s="316"/>
      <c r="O3" s="317"/>
      <c r="P3" s="318"/>
      <c r="Q3" s="317"/>
      <c r="R3" s="319"/>
      <c r="S3" s="319"/>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316"/>
      <c r="BM3" s="316"/>
      <c r="BN3" s="316"/>
      <c r="BO3" s="316"/>
      <c r="BP3" s="316"/>
    </row>
    <row r="4" spans="1:71">
      <c r="E4" s="314"/>
      <c r="F4" s="315"/>
      <c r="J4" s="316"/>
      <c r="K4" s="316"/>
      <c r="L4" s="317"/>
      <c r="M4" s="320"/>
      <c r="N4" s="320"/>
      <c r="O4" s="318"/>
      <c r="P4" s="318"/>
      <c r="Q4" s="317"/>
      <c r="R4" s="319" t="s">
        <v>1795</v>
      </c>
      <c r="S4" s="319">
        <v>1.5</v>
      </c>
      <c r="T4" s="320"/>
      <c r="U4" s="320"/>
      <c r="V4" s="320"/>
      <c r="W4" s="320"/>
      <c r="X4" s="320"/>
      <c r="Y4" s="320"/>
      <c r="Z4" s="320"/>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row>
    <row r="5" spans="1:71">
      <c r="E5" s="314"/>
      <c r="F5" s="315"/>
      <c r="K5" s="321"/>
      <c r="N5" s="320"/>
      <c r="O5" s="323"/>
      <c r="P5" s="318"/>
      <c r="Q5" s="317"/>
      <c r="R5" s="319" t="s">
        <v>1796</v>
      </c>
      <c r="S5" s="319">
        <v>0</v>
      </c>
      <c r="V5" s="320"/>
      <c r="W5" s="320"/>
      <c r="X5" s="320"/>
      <c r="Y5" s="320"/>
      <c r="Z5" s="320"/>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row>
    <row r="6" spans="1:71">
      <c r="E6" s="314"/>
      <c r="F6" s="315"/>
      <c r="O6" s="320"/>
      <c r="P6" s="318"/>
      <c r="Q6" s="317"/>
      <c r="R6" s="315" t="s">
        <v>2513</v>
      </c>
      <c r="S6" s="315" t="b">
        <f>PoleType_</f>
        <v>0</v>
      </c>
      <c r="V6" s="320"/>
      <c r="AB6" s="320"/>
      <c r="AC6" s="320"/>
      <c r="AF6" s="324"/>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row>
    <row r="7" spans="1:71">
      <c r="E7" s="314"/>
      <c r="F7" s="315"/>
      <c r="K7" s="316"/>
      <c r="L7" s="317"/>
      <c r="M7" s="316"/>
      <c r="O7" s="320"/>
      <c r="P7" s="318"/>
      <c r="Q7" s="317"/>
      <c r="R7" s="319"/>
      <c r="S7" s="319"/>
      <c r="V7" s="320"/>
      <c r="AF7" s="324"/>
      <c r="AG7" s="316"/>
      <c r="AH7" s="316"/>
      <c r="AI7" s="316"/>
      <c r="AJ7" s="316"/>
      <c r="AK7" s="316"/>
      <c r="AL7" s="316"/>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6"/>
      <c r="BP7" s="316"/>
    </row>
    <row r="8" spans="1:71">
      <c r="A8" s="325" t="s">
        <v>2513</v>
      </c>
      <c r="E8" s="314"/>
      <c r="F8" s="315"/>
      <c r="K8" s="317"/>
      <c r="L8" s="326"/>
      <c r="M8" s="326"/>
      <c r="O8" s="320"/>
      <c r="P8" s="318"/>
      <c r="Q8" s="317"/>
      <c r="R8" s="315"/>
      <c r="S8" s="319"/>
      <c r="V8" s="320"/>
      <c r="AF8" s="324"/>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row>
    <row r="9" spans="1:71">
      <c r="A9" s="327">
        <v>1</v>
      </c>
      <c r="B9" s="327" t="s">
        <v>1797</v>
      </c>
      <c r="C9" s="316"/>
      <c r="D9" s="328"/>
      <c r="E9" s="314"/>
      <c r="F9" s="315"/>
      <c r="G9" s="316"/>
      <c r="H9" s="316"/>
      <c r="I9" s="316"/>
      <c r="K9" s="318"/>
      <c r="L9" s="324"/>
      <c r="M9" s="324"/>
      <c r="O9" s="320"/>
      <c r="P9" s="320"/>
      <c r="Q9" s="324"/>
      <c r="R9" s="315"/>
      <c r="S9" s="319"/>
      <c r="V9" s="320"/>
      <c r="AF9" s="324"/>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6"/>
      <c r="BP9" s="316"/>
    </row>
    <row r="10" spans="1:71">
      <c r="A10" s="327">
        <v>2</v>
      </c>
      <c r="B10" s="327" t="s">
        <v>892</v>
      </c>
      <c r="C10" s="316"/>
      <c r="D10" s="328"/>
      <c r="E10" s="314"/>
      <c r="F10" s="315"/>
      <c r="G10" s="316"/>
      <c r="H10" s="316"/>
      <c r="I10" s="316"/>
      <c r="K10" s="318"/>
      <c r="L10" s="324"/>
      <c r="M10" s="324"/>
      <c r="O10" s="320"/>
      <c r="P10" s="320"/>
      <c r="Q10" s="324"/>
      <c r="R10" s="315"/>
      <c r="S10" s="319"/>
      <c r="V10" s="320"/>
      <c r="AF10" s="324"/>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row>
    <row r="11" spans="1:71">
      <c r="A11" s="327">
        <v>3</v>
      </c>
      <c r="B11" s="327" t="s">
        <v>1798</v>
      </c>
      <c r="C11" s="316"/>
      <c r="D11" s="328"/>
      <c r="E11" s="314"/>
      <c r="F11" s="315"/>
      <c r="G11" s="316"/>
      <c r="H11" s="316"/>
      <c r="I11" s="316"/>
      <c r="K11" s="318"/>
      <c r="L11" s="324"/>
      <c r="M11" s="324"/>
      <c r="O11" s="320"/>
      <c r="P11" s="320"/>
      <c r="Q11" s="320"/>
      <c r="R11" s="315"/>
      <c r="S11" s="315"/>
      <c r="V11" s="320"/>
      <c r="AF11" s="324"/>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row>
    <row r="12" spans="1:71">
      <c r="A12" s="327">
        <v>4</v>
      </c>
      <c r="B12" s="327" t="s">
        <v>1799</v>
      </c>
      <c r="C12" s="316"/>
      <c r="D12" s="328"/>
      <c r="E12" s="314"/>
      <c r="F12" s="315"/>
      <c r="G12" s="316"/>
      <c r="H12" s="316"/>
      <c r="I12" s="316"/>
      <c r="K12" s="318"/>
      <c r="L12" s="324"/>
      <c r="M12" s="324"/>
      <c r="O12" s="316"/>
      <c r="P12" s="316"/>
      <c r="Q12" s="316"/>
      <c r="R12" s="319"/>
      <c r="S12" s="319"/>
      <c r="V12" s="320"/>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row>
    <row r="13" spans="1:71">
      <c r="A13" s="327">
        <v>5</v>
      </c>
      <c r="B13" s="327" t="s">
        <v>1800</v>
      </c>
      <c r="C13" s="316"/>
      <c r="D13" s="328"/>
      <c r="E13" s="314"/>
      <c r="F13" s="315"/>
      <c r="G13" s="316"/>
      <c r="H13" s="316"/>
      <c r="I13" s="316"/>
      <c r="K13" s="318"/>
      <c r="L13" s="324"/>
      <c r="M13" s="324"/>
      <c r="O13" s="316"/>
      <c r="P13" s="316"/>
      <c r="Q13" s="316"/>
      <c r="R13" s="319"/>
      <c r="S13" s="319"/>
      <c r="V13" s="320"/>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row>
    <row r="14" spans="1:71">
      <c r="E14" s="314"/>
      <c r="F14" s="315"/>
      <c r="K14" s="318"/>
      <c r="L14" s="324"/>
      <c r="M14" s="324"/>
      <c r="O14" s="317"/>
      <c r="P14" s="319"/>
      <c r="Q14" s="317"/>
      <c r="R14" s="319"/>
      <c r="S14" s="319"/>
      <c r="V14" s="320"/>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9"/>
      <c r="BE14" s="319"/>
      <c r="BF14" s="319"/>
      <c r="BG14" s="319"/>
      <c r="BH14" s="319"/>
      <c r="BI14" s="319"/>
      <c r="BJ14" s="319"/>
      <c r="BK14" s="319"/>
      <c r="BL14" s="319"/>
      <c r="BM14" s="319"/>
      <c r="BN14" s="319"/>
      <c r="BO14" s="319"/>
      <c r="BP14" s="319"/>
      <c r="BQ14" s="329"/>
      <c r="BR14" s="329"/>
      <c r="BS14" s="329"/>
    </row>
    <row r="15" spans="1:71">
      <c r="E15" s="314"/>
      <c r="F15" s="315"/>
      <c r="K15" s="318"/>
      <c r="L15" s="324"/>
      <c r="M15" s="324"/>
      <c r="O15" s="319"/>
      <c r="P15" s="319"/>
      <c r="Q15" s="315"/>
      <c r="R15" s="319"/>
      <c r="S15" s="319"/>
      <c r="V15" s="320"/>
      <c r="AG15" s="316"/>
      <c r="AH15" s="316"/>
      <c r="AI15" s="316"/>
      <c r="AJ15" s="316"/>
      <c r="AK15" s="316"/>
      <c r="AL15" s="316"/>
      <c r="AM15" s="316"/>
      <c r="AN15" s="316"/>
      <c r="AO15" s="316"/>
      <c r="AP15" s="316"/>
      <c r="AQ15" s="316"/>
      <c r="AR15" s="326"/>
      <c r="AS15" s="326"/>
      <c r="AT15" s="316"/>
      <c r="AU15" s="316"/>
      <c r="AV15" s="316"/>
      <c r="AW15" s="316"/>
      <c r="AX15" s="316"/>
      <c r="AY15" s="316"/>
      <c r="AZ15" s="316"/>
      <c r="BA15" s="316"/>
      <c r="BB15" s="316"/>
      <c r="BC15" s="316"/>
      <c r="BD15" s="319"/>
      <c r="BE15" s="319"/>
      <c r="BF15" s="319"/>
      <c r="BG15" s="319"/>
      <c r="BH15" s="319"/>
      <c r="BI15" s="319"/>
      <c r="BJ15" s="319"/>
      <c r="BK15" s="319"/>
      <c r="BL15" s="319"/>
      <c r="BM15" s="319"/>
      <c r="BN15" s="319"/>
      <c r="BO15" s="319"/>
      <c r="BP15" s="319"/>
      <c r="BQ15" s="329"/>
      <c r="BR15" s="329"/>
      <c r="BS15" s="329"/>
    </row>
    <row r="16" spans="1:71">
      <c r="E16" s="314"/>
      <c r="F16" s="315"/>
      <c r="K16" s="318"/>
      <c r="L16" s="324"/>
      <c r="M16" s="324"/>
      <c r="O16" s="319"/>
      <c r="P16" s="319"/>
      <c r="Q16" s="315"/>
      <c r="R16" s="319"/>
      <c r="S16" s="319"/>
      <c r="V16" s="320"/>
      <c r="AG16" s="316"/>
      <c r="AH16" s="316"/>
      <c r="AI16" s="316"/>
      <c r="AJ16" s="316"/>
      <c r="AK16" s="316"/>
      <c r="AL16" s="316"/>
      <c r="AM16" s="316"/>
      <c r="AN16" s="316"/>
      <c r="AO16" s="316"/>
      <c r="AP16" s="316"/>
      <c r="AQ16" s="318"/>
      <c r="AR16" s="324"/>
      <c r="AS16" s="324"/>
      <c r="AT16" s="316"/>
      <c r="AU16" s="316"/>
      <c r="AV16" s="316"/>
      <c r="AW16" s="316"/>
      <c r="AX16" s="316"/>
      <c r="AY16" s="316"/>
      <c r="AZ16" s="316"/>
      <c r="BA16" s="316"/>
      <c r="BB16" s="316"/>
      <c r="BC16" s="316"/>
      <c r="BD16" s="319"/>
      <c r="BE16" s="319"/>
      <c r="BF16" s="319"/>
      <c r="BG16" s="319"/>
      <c r="BH16" s="319"/>
      <c r="BI16" s="319"/>
      <c r="BJ16" s="319"/>
      <c r="BK16" s="319"/>
      <c r="BL16" s="319"/>
      <c r="BM16" s="319"/>
      <c r="BN16" s="319"/>
      <c r="BO16" s="319"/>
      <c r="BP16" s="319"/>
      <c r="BQ16" s="329"/>
      <c r="BR16" s="329"/>
      <c r="BS16" s="329"/>
    </row>
    <row r="17" spans="1:71">
      <c r="E17" s="330" t="s">
        <v>1795</v>
      </c>
      <c r="F17" s="331">
        <v>1.5</v>
      </c>
      <c r="K17" s="318"/>
      <c r="L17" s="324"/>
      <c r="M17" s="324"/>
      <c r="O17" s="319"/>
      <c r="P17" s="319"/>
      <c r="Q17" s="315"/>
      <c r="R17" s="319"/>
      <c r="S17" s="319"/>
      <c r="V17" s="320"/>
      <c r="AG17" s="316"/>
      <c r="AH17" s="316"/>
      <c r="AI17" s="316"/>
      <c r="AJ17" s="316"/>
      <c r="AK17" s="316"/>
      <c r="AL17" s="316"/>
      <c r="AM17" s="316"/>
      <c r="AN17" s="316"/>
      <c r="AO17" s="316"/>
      <c r="AP17" s="316"/>
      <c r="AQ17" s="318"/>
      <c r="AR17" s="324"/>
      <c r="AS17" s="324"/>
      <c r="AT17" s="315"/>
      <c r="AU17" s="315"/>
      <c r="AV17" s="316"/>
      <c r="AW17" s="316"/>
      <c r="AX17" s="316"/>
      <c r="AY17" s="316"/>
      <c r="AZ17" s="316"/>
      <c r="BA17" s="316"/>
      <c r="BB17" s="316"/>
      <c r="BC17" s="316"/>
      <c r="BD17" s="319"/>
      <c r="BE17" s="319"/>
      <c r="BF17" s="319"/>
      <c r="BG17" s="319"/>
      <c r="BH17" s="319"/>
      <c r="BI17" s="319"/>
      <c r="BJ17" s="319"/>
      <c r="BK17" s="319"/>
      <c r="BL17" s="319"/>
      <c r="BM17" s="319"/>
      <c r="BN17" s="319"/>
      <c r="BO17" s="319"/>
      <c r="BP17" s="319"/>
      <c r="BQ17" s="329"/>
      <c r="BR17" s="329"/>
      <c r="BS17" s="329"/>
    </row>
    <row r="18" spans="1:71" ht="13.5" thickBot="1">
      <c r="E18" s="330" t="s">
        <v>1796</v>
      </c>
      <c r="F18" s="331">
        <v>0</v>
      </c>
      <c r="K18" s="318"/>
      <c r="L18" s="324"/>
      <c r="M18" s="324"/>
      <c r="O18" s="319"/>
      <c r="P18" s="319"/>
      <c r="Q18" s="315"/>
      <c r="R18" s="319"/>
      <c r="S18" s="319"/>
      <c r="V18" s="320"/>
      <c r="AG18" s="316"/>
      <c r="AH18" s="316"/>
      <c r="AI18" s="316"/>
      <c r="AJ18" s="316"/>
      <c r="AK18" s="316"/>
      <c r="AL18" s="316"/>
      <c r="AM18" s="316"/>
      <c r="AN18" s="316"/>
      <c r="AO18" s="316"/>
      <c r="AP18" s="316"/>
      <c r="AQ18" s="318"/>
      <c r="AR18" s="324"/>
      <c r="AS18" s="324"/>
      <c r="AT18" s="316"/>
      <c r="AU18" s="316"/>
      <c r="AV18" s="316"/>
      <c r="AW18" s="316"/>
      <c r="AX18" s="316"/>
      <c r="AY18" s="316"/>
      <c r="AZ18" s="316"/>
      <c r="BA18" s="316"/>
      <c r="BB18" s="316"/>
      <c r="BC18" s="316"/>
      <c r="BD18" s="316"/>
      <c r="BE18" s="316"/>
      <c r="BF18" s="316"/>
      <c r="BG18" s="316"/>
      <c r="BH18" s="316"/>
      <c r="BI18" s="316"/>
      <c r="BJ18" s="316"/>
      <c r="BK18" s="316"/>
      <c r="BL18" s="319"/>
      <c r="BM18" s="319"/>
      <c r="BN18" s="319"/>
      <c r="BO18" s="319"/>
      <c r="BP18" s="319"/>
      <c r="BQ18" s="329"/>
      <c r="BR18" s="329"/>
      <c r="BS18" s="329"/>
    </row>
    <row r="19" spans="1:71" ht="18.75" thickBot="1">
      <c r="A19" s="332" t="s">
        <v>1801</v>
      </c>
      <c r="E19" s="333" t="s">
        <v>2513</v>
      </c>
      <c r="F19" s="331" t="b">
        <f>PoleType_</f>
        <v>0</v>
      </c>
      <c r="K19" s="318"/>
      <c r="L19" s="324"/>
      <c r="M19" s="324"/>
      <c r="O19" s="319"/>
      <c r="P19" s="319"/>
      <c r="Q19" s="315"/>
      <c r="R19" s="319"/>
      <c r="S19" s="319"/>
      <c r="V19" s="320"/>
      <c r="AG19" s="316"/>
      <c r="AH19" s="316"/>
      <c r="AI19" s="316"/>
      <c r="AJ19" s="318"/>
      <c r="AK19" s="334"/>
      <c r="AL19" s="317"/>
      <c r="AM19" s="317"/>
      <c r="AN19" s="317"/>
      <c r="AO19" s="317"/>
      <c r="AP19" s="316"/>
      <c r="AQ19" s="318"/>
      <c r="AR19" s="324"/>
      <c r="AS19" s="324"/>
      <c r="AT19" s="316"/>
      <c r="AU19" s="316"/>
      <c r="AV19" s="316"/>
      <c r="AW19" s="316"/>
      <c r="AX19" s="316"/>
      <c r="AY19" s="316"/>
      <c r="AZ19" s="316"/>
      <c r="BA19" s="316"/>
      <c r="BB19" s="316"/>
      <c r="BC19" s="316"/>
      <c r="BD19" s="316"/>
      <c r="BE19" s="316"/>
      <c r="BF19" s="316"/>
      <c r="BG19" s="316"/>
      <c r="BH19" s="316"/>
      <c r="BI19" s="316"/>
      <c r="BJ19" s="316"/>
      <c r="BK19" s="316"/>
      <c r="BL19" s="319"/>
      <c r="BM19" s="319"/>
      <c r="BN19" s="319"/>
      <c r="BO19" s="319"/>
      <c r="BP19" s="319"/>
      <c r="BQ19" s="329"/>
      <c r="BR19" s="329"/>
      <c r="BS19" s="329"/>
    </row>
    <row r="20" spans="1:71" ht="13.5" thickBot="1">
      <c r="A20" s="335" t="s">
        <v>3311</v>
      </c>
      <c r="B20" s="336">
        <f>Application!D43</f>
        <v>0</v>
      </c>
      <c r="C20" s="337"/>
      <c r="E20" s="338" t="s">
        <v>1802</v>
      </c>
      <c r="F20" s="331" t="e">
        <f>IF(MUW_/MTW_&lt;=0.65,0.04*E_,MUW_*0.63)</f>
        <v>#DIV/0!</v>
      </c>
      <c r="G20" s="323"/>
      <c r="H20" s="315"/>
      <c r="I20" s="323"/>
      <c r="K20" s="318"/>
      <c r="L20" s="324"/>
      <c r="M20" s="324"/>
      <c r="O20" s="319"/>
      <c r="P20" s="319"/>
      <c r="Q20" s="315"/>
      <c r="R20" s="319"/>
      <c r="S20" s="319"/>
      <c r="V20" s="320"/>
      <c r="AG20" s="316"/>
      <c r="AH20" s="316"/>
      <c r="AI20" s="316"/>
      <c r="AJ20" s="318"/>
      <c r="AK20" s="334"/>
      <c r="AL20" s="316"/>
      <c r="AM20" s="316"/>
      <c r="AN20" s="316"/>
      <c r="AO20" s="316"/>
      <c r="AP20" s="316"/>
      <c r="AQ20" s="318"/>
      <c r="AR20" s="324"/>
      <c r="AS20" s="324"/>
      <c r="AT20" s="316"/>
      <c r="AU20" s="316"/>
      <c r="AV20" s="316"/>
      <c r="AW20" s="316"/>
      <c r="AX20" s="316"/>
      <c r="AY20" s="316"/>
      <c r="AZ20" s="316"/>
      <c r="BA20" s="316"/>
      <c r="BB20" s="316"/>
      <c r="BC20" s="316"/>
      <c r="BD20" s="316"/>
      <c r="BE20" s="316"/>
      <c r="BF20" s="316"/>
      <c r="BG20" s="316"/>
      <c r="BH20" s="316"/>
      <c r="BI20" s="316"/>
      <c r="BJ20" s="316"/>
      <c r="BK20" s="316"/>
      <c r="BL20" s="319"/>
      <c r="BM20" s="319"/>
      <c r="BN20" s="319"/>
      <c r="BO20" s="319"/>
      <c r="BP20" s="319"/>
      <c r="BQ20" s="329"/>
      <c r="BR20" s="329"/>
      <c r="BS20" s="329"/>
    </row>
    <row r="21" spans="1:71" ht="13.5" thickBot="1">
      <c r="A21" s="339" t="s">
        <v>3906</v>
      </c>
      <c r="B21" s="336">
        <f>Application!D44</f>
        <v>0</v>
      </c>
      <c r="C21" s="323"/>
      <c r="D21" s="337"/>
      <c r="E21" s="338" t="s">
        <v>1803</v>
      </c>
      <c r="F21" s="338" t="e">
        <f>180*ATAN(((FL_^2-J_^2)^0.5)/J_)/PI()</f>
        <v>#DIV/0!</v>
      </c>
      <c r="G21" s="323"/>
      <c r="H21" s="323"/>
      <c r="I21" s="323"/>
      <c r="K21" s="318"/>
      <c r="L21" s="324"/>
      <c r="M21" s="324"/>
      <c r="O21" s="316"/>
      <c r="P21" s="316"/>
      <c r="Q21" s="316"/>
      <c r="R21" s="319"/>
      <c r="S21" s="319"/>
      <c r="V21" s="320"/>
      <c r="AG21" s="316"/>
      <c r="AH21" s="316"/>
      <c r="AI21" s="316"/>
      <c r="AJ21" s="318"/>
      <c r="AK21" s="334"/>
      <c r="AL21" s="316"/>
      <c r="AM21" s="316"/>
      <c r="AN21" s="316"/>
      <c r="AO21" s="316"/>
      <c r="AP21" s="316"/>
      <c r="AQ21" s="318"/>
      <c r="AR21" s="324"/>
      <c r="AS21" s="324"/>
      <c r="AT21" s="316"/>
      <c r="AU21" s="316"/>
      <c r="AV21" s="316"/>
      <c r="AW21" s="316"/>
      <c r="AX21" s="316"/>
      <c r="AY21" s="316"/>
      <c r="AZ21" s="316"/>
      <c r="BA21" s="316"/>
      <c r="BB21" s="316"/>
      <c r="BC21" s="316"/>
      <c r="BD21" s="316"/>
      <c r="BE21" s="316"/>
      <c r="BF21" s="316"/>
      <c r="BG21" s="316"/>
      <c r="BH21" s="316"/>
      <c r="BI21" s="316"/>
      <c r="BJ21" s="316"/>
      <c r="BK21" s="316"/>
      <c r="BL21" s="319"/>
      <c r="BM21" s="319"/>
      <c r="BN21" s="319"/>
      <c r="BO21" s="319"/>
      <c r="BP21" s="319"/>
      <c r="BQ21" s="329"/>
      <c r="BR21" s="329"/>
      <c r="BS21" s="329"/>
    </row>
    <row r="22" spans="1:71" ht="13.5" thickBot="1">
      <c r="A22" s="339" t="s">
        <v>3909</v>
      </c>
      <c r="B22" s="336">
        <f>Application!D45</f>
        <v>0</v>
      </c>
      <c r="C22" s="323"/>
      <c r="D22" s="337"/>
      <c r="E22" s="1009" t="s">
        <v>1804</v>
      </c>
      <c r="F22" s="340">
        <f>IF(LH_&lt;8,1.4,IF(LH_&gt;=8,0.1*LH_+0.6))</f>
        <v>1.4</v>
      </c>
      <c r="G22" s="323"/>
      <c r="H22" s="323"/>
      <c r="I22" s="323"/>
      <c r="K22" s="318"/>
      <c r="L22" s="324"/>
      <c r="M22" s="324"/>
      <c r="O22" s="315"/>
      <c r="P22" s="341"/>
      <c r="Q22" s="316"/>
      <c r="R22" s="319"/>
      <c r="S22" s="319"/>
      <c r="AG22" s="316"/>
      <c r="AH22" s="316"/>
      <c r="AI22" s="316"/>
      <c r="AJ22" s="318"/>
      <c r="AK22" s="334"/>
      <c r="AL22" s="316"/>
      <c r="AM22" s="316"/>
      <c r="AN22" s="316"/>
      <c r="AO22" s="316"/>
      <c r="AP22" s="316"/>
      <c r="AQ22" s="318"/>
      <c r="AR22" s="324"/>
      <c r="AS22" s="324"/>
      <c r="AT22" s="316"/>
      <c r="AU22" s="316"/>
      <c r="AV22" s="316"/>
      <c r="AW22" s="316"/>
      <c r="AX22" s="316"/>
      <c r="AY22" s="316"/>
      <c r="AZ22" s="316"/>
      <c r="BA22" s="316"/>
      <c r="BB22" s="316"/>
      <c r="BC22" s="324"/>
      <c r="BD22" s="324"/>
      <c r="BE22" s="342"/>
      <c r="BF22" s="315"/>
      <c r="BG22" s="317"/>
      <c r="BH22" s="315"/>
      <c r="BI22" s="315"/>
      <c r="BJ22" s="316"/>
      <c r="BK22" s="316"/>
      <c r="BL22" s="319"/>
      <c r="BM22" s="319"/>
      <c r="BN22" s="319"/>
      <c r="BO22" s="319"/>
      <c r="BP22" s="319"/>
      <c r="BQ22" s="329"/>
      <c r="BR22" s="329"/>
      <c r="BS22" s="329"/>
    </row>
    <row r="23" spans="1:71" ht="13.5" thickBot="1">
      <c r="A23" s="339" t="s">
        <v>3912</v>
      </c>
      <c r="B23" s="336">
        <f>Application!D46</f>
        <v>0</v>
      </c>
      <c r="C23" s="323"/>
      <c r="D23" s="337"/>
      <c r="E23" s="1009"/>
      <c r="F23" s="1022">
        <f>IF(F22&gt;3,3,F22)</f>
        <v>1.4</v>
      </c>
      <c r="G23" s="323"/>
      <c r="H23" s="323"/>
      <c r="I23" s="323"/>
      <c r="K23" s="318"/>
      <c r="L23" s="324"/>
      <c r="M23" s="324"/>
      <c r="O23" s="316"/>
      <c r="P23" s="316"/>
      <c r="Q23" s="316"/>
      <c r="R23" s="319"/>
      <c r="S23" s="319"/>
      <c r="AG23" s="316"/>
      <c r="AH23" s="316"/>
      <c r="AI23" s="316"/>
      <c r="AJ23" s="318"/>
      <c r="AK23" s="334"/>
      <c r="AL23" s="316"/>
      <c r="AM23" s="316"/>
      <c r="AN23" s="316"/>
      <c r="AO23" s="316"/>
      <c r="AP23" s="316"/>
      <c r="AQ23" s="318"/>
      <c r="AR23" s="324"/>
      <c r="AS23" s="324"/>
      <c r="AT23" s="316"/>
      <c r="AU23" s="316"/>
      <c r="AV23" s="316"/>
      <c r="AW23" s="316"/>
      <c r="AX23" s="316"/>
      <c r="AY23" s="316"/>
      <c r="AZ23" s="316"/>
      <c r="BA23" s="316"/>
      <c r="BB23" s="316"/>
      <c r="BC23" s="324"/>
      <c r="BD23" s="324"/>
      <c r="BE23" s="342"/>
      <c r="BF23" s="315"/>
      <c r="BG23" s="319"/>
      <c r="BH23" s="315"/>
      <c r="BI23" s="315"/>
      <c r="BJ23" s="316"/>
      <c r="BK23" s="316"/>
      <c r="BL23" s="319"/>
      <c r="BM23" s="319"/>
      <c r="BN23" s="319"/>
      <c r="BO23" s="319"/>
      <c r="BP23" s="319"/>
      <c r="BQ23" s="329"/>
      <c r="BR23" s="329"/>
      <c r="BS23" s="329"/>
    </row>
    <row r="24" spans="1:71" ht="13.5" thickBot="1">
      <c r="A24" s="339" t="s">
        <v>3907</v>
      </c>
      <c r="B24" s="336">
        <f>Application!D47</f>
        <v>0</v>
      </c>
      <c r="C24" s="323"/>
      <c r="D24" s="337"/>
      <c r="E24" s="1009"/>
      <c r="F24" s="1025"/>
      <c r="G24" s="323"/>
      <c r="H24" s="323"/>
      <c r="I24" s="323"/>
      <c r="K24" s="318"/>
      <c r="L24" s="324"/>
      <c r="M24" s="324"/>
      <c r="O24" s="317"/>
      <c r="P24" s="319"/>
      <c r="Q24" s="319"/>
      <c r="R24" s="319"/>
      <c r="S24" s="319"/>
      <c r="AG24" s="316"/>
      <c r="AH24" s="316"/>
      <c r="AI24" s="316"/>
      <c r="AJ24" s="318"/>
      <c r="AK24" s="334"/>
      <c r="AL24" s="316"/>
      <c r="AM24" s="316"/>
      <c r="AN24" s="316"/>
      <c r="AO24" s="316"/>
      <c r="AP24" s="316"/>
      <c r="AQ24" s="318"/>
      <c r="AR24" s="324"/>
      <c r="AS24" s="324"/>
      <c r="AT24" s="316"/>
      <c r="AU24" s="316"/>
      <c r="AV24" s="316"/>
      <c r="AW24" s="316"/>
      <c r="AX24" s="316"/>
      <c r="AY24" s="316"/>
      <c r="AZ24" s="316"/>
      <c r="BA24" s="316"/>
      <c r="BB24" s="316"/>
      <c r="BC24" s="324"/>
      <c r="BD24" s="324"/>
      <c r="BE24" s="342"/>
      <c r="BF24" s="315"/>
      <c r="BG24" s="319"/>
      <c r="BH24" s="315"/>
      <c r="BI24" s="315"/>
      <c r="BJ24" s="316"/>
      <c r="BK24" s="316"/>
      <c r="BL24" s="319"/>
      <c r="BM24" s="319"/>
      <c r="BN24" s="319"/>
      <c r="BO24" s="319"/>
      <c r="BP24" s="319"/>
      <c r="BQ24" s="329"/>
      <c r="BR24" s="329"/>
      <c r="BS24" s="329"/>
    </row>
    <row r="25" spans="1:71" ht="13.5" thickBot="1">
      <c r="A25" s="339" t="s">
        <v>3910</v>
      </c>
      <c r="B25" s="336">
        <f>Application!D48</f>
        <v>0</v>
      </c>
      <c r="C25" s="323"/>
      <c r="D25" s="337"/>
      <c r="E25" s="1009" t="s">
        <v>1805</v>
      </c>
      <c r="F25" s="1027">
        <f>IF(0.025*LH_&lt;0.1,0.1,IF(0.025*LH_&gt;1.3,1.3,0.025*LH_))</f>
        <v>0.1</v>
      </c>
      <c r="G25" s="323"/>
      <c r="H25" s="323"/>
      <c r="I25" s="323"/>
      <c r="K25" s="318"/>
      <c r="L25" s="324"/>
      <c r="M25" s="324"/>
      <c r="O25" s="319"/>
      <c r="P25" s="319"/>
      <c r="Q25" s="319"/>
      <c r="R25" s="319"/>
      <c r="S25" s="319"/>
      <c r="AG25" s="316"/>
      <c r="AH25" s="316"/>
      <c r="AI25" s="316"/>
      <c r="AJ25" s="318"/>
      <c r="AK25" s="334"/>
      <c r="AL25" s="316"/>
      <c r="AM25" s="316"/>
      <c r="AN25" s="316"/>
      <c r="AO25" s="316"/>
      <c r="AP25" s="316"/>
      <c r="AQ25" s="318"/>
      <c r="AR25" s="324"/>
      <c r="AS25" s="324"/>
      <c r="AT25" s="316"/>
      <c r="AU25" s="316"/>
      <c r="AV25" s="316"/>
      <c r="AW25" s="316"/>
      <c r="AX25" s="316"/>
      <c r="AY25" s="316"/>
      <c r="AZ25" s="316"/>
      <c r="BA25" s="316"/>
      <c r="BB25" s="316"/>
      <c r="BC25" s="324"/>
      <c r="BD25" s="324"/>
      <c r="BE25" s="342"/>
      <c r="BF25" s="315"/>
      <c r="BG25" s="316"/>
      <c r="BH25" s="324"/>
      <c r="BI25" s="324"/>
      <c r="BJ25" s="316"/>
      <c r="BK25" s="316"/>
      <c r="BL25" s="319"/>
      <c r="BM25" s="319"/>
      <c r="BN25" s="319"/>
      <c r="BO25" s="319"/>
      <c r="BP25" s="319"/>
      <c r="BQ25" s="329"/>
      <c r="BR25" s="329"/>
      <c r="BS25" s="329"/>
    </row>
    <row r="26" spans="1:71" ht="13.5" thickBot="1">
      <c r="A26" s="339" t="s">
        <v>389</v>
      </c>
      <c r="B26" s="336">
        <f>Application!D87</f>
        <v>0</v>
      </c>
      <c r="C26" s="323"/>
      <c r="D26" s="337"/>
      <c r="E26" s="1009"/>
      <c r="F26" s="1027"/>
      <c r="G26" s="323"/>
      <c r="H26" s="323"/>
      <c r="I26" s="323"/>
      <c r="K26" s="318"/>
      <c r="L26" s="324"/>
      <c r="M26" s="324"/>
      <c r="O26" s="319"/>
      <c r="P26" s="319"/>
      <c r="Q26" s="319"/>
      <c r="R26" s="315"/>
      <c r="S26" s="319"/>
      <c r="AG26" s="316"/>
      <c r="AH26" s="316"/>
      <c r="AI26" s="316"/>
      <c r="AJ26" s="318"/>
      <c r="AK26" s="334"/>
      <c r="AL26" s="324"/>
      <c r="AM26" s="316"/>
      <c r="AN26" s="316"/>
      <c r="AO26" s="316"/>
      <c r="AP26" s="316"/>
      <c r="AQ26" s="316"/>
      <c r="AR26" s="316"/>
      <c r="AS26" s="316"/>
      <c r="AT26" s="316"/>
      <c r="AU26" s="316"/>
      <c r="AV26" s="316"/>
      <c r="AW26" s="316"/>
      <c r="AX26" s="316"/>
      <c r="AY26" s="316"/>
      <c r="AZ26" s="316"/>
      <c r="BA26" s="316"/>
      <c r="BB26" s="316"/>
      <c r="BC26" s="324"/>
      <c r="BD26" s="324"/>
      <c r="BE26" s="342"/>
      <c r="BF26" s="315"/>
      <c r="BG26" s="319"/>
      <c r="BH26" s="315"/>
      <c r="BI26" s="315"/>
      <c r="BJ26" s="316"/>
      <c r="BK26" s="316"/>
      <c r="BL26" s="319"/>
      <c r="BM26" s="319"/>
      <c r="BN26" s="319"/>
      <c r="BO26" s="319"/>
      <c r="BP26" s="319"/>
      <c r="BQ26" s="329"/>
      <c r="BR26" s="329"/>
      <c r="BS26" s="329"/>
    </row>
    <row r="27" spans="1:71" ht="13.5" thickBot="1">
      <c r="A27" s="339" t="s">
        <v>391</v>
      </c>
      <c r="B27" s="336">
        <f>Application!D88</f>
        <v>0</v>
      </c>
      <c r="C27" s="323"/>
      <c r="D27" s="337"/>
      <c r="E27" s="1009"/>
      <c r="F27" s="1027"/>
      <c r="G27" s="323"/>
      <c r="H27" s="323"/>
      <c r="I27" s="323"/>
      <c r="K27" s="318"/>
      <c r="L27" s="324"/>
      <c r="M27" s="324"/>
      <c r="O27" s="319"/>
      <c r="P27" s="319"/>
      <c r="Q27" s="319"/>
      <c r="R27" s="315"/>
      <c r="S27" s="319"/>
      <c r="AG27" s="316"/>
      <c r="AH27" s="316"/>
      <c r="AI27" s="316"/>
      <c r="AJ27" s="318"/>
      <c r="AK27" s="334"/>
      <c r="AL27" s="316"/>
      <c r="AM27" s="316"/>
      <c r="AN27" s="316"/>
      <c r="AO27" s="316"/>
      <c r="AP27" s="316"/>
      <c r="AQ27" s="316"/>
      <c r="AR27" s="316"/>
      <c r="AS27" s="316"/>
      <c r="AT27" s="316"/>
      <c r="AU27" s="316"/>
      <c r="AV27" s="316"/>
      <c r="AW27" s="316"/>
      <c r="AX27" s="316"/>
      <c r="AY27" s="316"/>
      <c r="AZ27" s="316"/>
      <c r="BA27" s="316"/>
      <c r="BB27" s="316"/>
      <c r="BC27" s="324"/>
      <c r="BD27" s="324"/>
      <c r="BE27" s="342"/>
      <c r="BF27" s="315"/>
      <c r="BG27" s="317"/>
      <c r="BH27" s="315"/>
      <c r="BI27" s="319"/>
      <c r="BJ27" s="316"/>
      <c r="BK27" s="316"/>
      <c r="BL27" s="319"/>
      <c r="BM27" s="319"/>
      <c r="BN27" s="319"/>
      <c r="BO27" s="319"/>
      <c r="BP27" s="319"/>
      <c r="BQ27" s="329"/>
      <c r="BR27" s="329"/>
      <c r="BS27" s="329"/>
    </row>
    <row r="28" spans="1:71" ht="13.5" thickBot="1">
      <c r="A28" s="339" t="s">
        <v>394</v>
      </c>
      <c r="B28" s="336">
        <f>Application!D89</f>
        <v>0</v>
      </c>
      <c r="C28" s="323"/>
      <c r="D28" s="337"/>
      <c r="E28" s="1012" t="s">
        <v>1806</v>
      </c>
      <c r="F28" s="343">
        <f>IF(LH_&lt;8,0.1*LH_+0.2,IF(LH_&gt;=14,0.025*LH_+1.4,0.1*LH_+0.35))</f>
        <v>0.2</v>
      </c>
      <c r="G28" s="323"/>
      <c r="H28" s="323"/>
      <c r="I28" s="323"/>
      <c r="K28" s="318"/>
      <c r="L28" s="324"/>
      <c r="M28" s="324"/>
      <c r="O28" s="319"/>
      <c r="P28" s="319"/>
      <c r="Q28" s="319"/>
      <c r="R28" s="315"/>
      <c r="S28" s="315"/>
      <c r="AG28" s="316"/>
      <c r="AH28" s="316"/>
      <c r="AI28" s="316"/>
      <c r="AJ28" s="318"/>
      <c r="AK28" s="324"/>
      <c r="AL28" s="316"/>
      <c r="AM28" s="316"/>
      <c r="AN28" s="316"/>
      <c r="AO28" s="316"/>
      <c r="AP28" s="316"/>
      <c r="AQ28" s="316"/>
      <c r="AR28" s="316"/>
      <c r="AS28" s="316"/>
      <c r="AT28" s="316"/>
      <c r="AU28" s="316"/>
      <c r="AV28" s="316"/>
      <c r="AW28" s="316"/>
      <c r="AX28" s="316"/>
      <c r="AY28" s="316"/>
      <c r="AZ28" s="316"/>
      <c r="BA28" s="316"/>
      <c r="BB28" s="316"/>
      <c r="BC28" s="324"/>
      <c r="BD28" s="324"/>
      <c r="BE28" s="342"/>
      <c r="BF28" s="315"/>
      <c r="BG28" s="315"/>
      <c r="BH28" s="315"/>
      <c r="BI28" s="320"/>
      <c r="BJ28" s="316"/>
      <c r="BK28" s="316"/>
      <c r="BL28" s="319"/>
      <c r="BM28" s="319"/>
      <c r="BN28" s="319"/>
      <c r="BO28" s="319"/>
      <c r="BP28" s="319"/>
      <c r="BQ28" s="329"/>
      <c r="BR28" s="329"/>
      <c r="BS28" s="329"/>
    </row>
    <row r="29" spans="1:71" ht="13.5" thickBot="1">
      <c r="A29" s="339" t="s">
        <v>397</v>
      </c>
      <c r="B29" s="336">
        <f>Application!D90</f>
        <v>0</v>
      </c>
      <c r="C29" s="323"/>
      <c r="D29" s="337"/>
      <c r="E29" s="1015"/>
      <c r="F29" s="1026">
        <f>IF(F28&gt;3,3,F28)</f>
        <v>0.2</v>
      </c>
      <c r="G29" s="323"/>
      <c r="H29" s="323"/>
      <c r="I29" s="323"/>
      <c r="K29" s="318"/>
      <c r="L29" s="324"/>
      <c r="M29" s="324"/>
      <c r="O29" s="319"/>
      <c r="P29" s="319"/>
      <c r="Q29" s="319"/>
      <c r="R29" s="315"/>
      <c r="S29" s="315"/>
      <c r="AG29" s="316"/>
      <c r="AH29" s="316"/>
      <c r="AI29" s="316"/>
      <c r="AJ29" s="1021"/>
      <c r="AK29" s="1020"/>
      <c r="AL29" s="317"/>
      <c r="AM29" s="316"/>
      <c r="AN29" s="316"/>
      <c r="AO29" s="316"/>
      <c r="AP29" s="316"/>
      <c r="AQ29" s="317"/>
      <c r="AR29" s="315"/>
      <c r="AS29" s="315"/>
      <c r="AT29" s="316"/>
      <c r="AU29" s="316"/>
      <c r="AV29" s="316"/>
      <c r="AW29" s="316"/>
      <c r="AX29" s="316"/>
      <c r="AY29" s="317"/>
      <c r="AZ29" s="319"/>
      <c r="BA29" s="319"/>
      <c r="BB29" s="319"/>
      <c r="BC29" s="319"/>
      <c r="BD29" s="319"/>
      <c r="BE29" s="319"/>
      <c r="BF29" s="315"/>
      <c r="BG29" s="319"/>
      <c r="BH29" s="319"/>
      <c r="BI29" s="319"/>
      <c r="BJ29" s="319"/>
      <c r="BK29" s="316"/>
      <c r="BL29" s="319"/>
      <c r="BM29" s="319"/>
      <c r="BN29" s="319"/>
      <c r="BO29" s="319"/>
      <c r="BP29" s="319"/>
      <c r="BQ29" s="329"/>
      <c r="BR29" s="329"/>
      <c r="BS29" s="329"/>
    </row>
    <row r="30" spans="1:71" ht="13.5" thickBot="1">
      <c r="A30" s="339" t="s">
        <v>1504</v>
      </c>
      <c r="B30" s="336">
        <f>Application!D106</f>
        <v>0</v>
      </c>
      <c r="C30" s="323"/>
      <c r="D30" s="337"/>
      <c r="E30" s="1015"/>
      <c r="F30" s="1013"/>
      <c r="G30" s="323"/>
      <c r="H30" s="323"/>
      <c r="I30" s="323"/>
      <c r="K30" s="318"/>
      <c r="L30" s="324"/>
      <c r="M30" s="324"/>
      <c r="O30" s="319"/>
      <c r="P30" s="319"/>
      <c r="Q30" s="319"/>
      <c r="R30" s="315"/>
      <c r="S30" s="319"/>
      <c r="AG30" s="316"/>
      <c r="AH30" s="316"/>
      <c r="AI30" s="316"/>
      <c r="AJ30" s="318"/>
      <c r="AK30" s="315"/>
      <c r="AL30" s="316"/>
      <c r="AM30" s="316"/>
      <c r="AN30" s="316"/>
      <c r="AO30" s="316"/>
      <c r="AP30" s="316"/>
      <c r="AQ30" s="319"/>
      <c r="AR30" s="315"/>
      <c r="AS30" s="315"/>
      <c r="AT30" s="316"/>
      <c r="AU30" s="316"/>
      <c r="AV30" s="324"/>
      <c r="AW30" s="316"/>
      <c r="AX30" s="316"/>
      <c r="AY30" s="319"/>
      <c r="AZ30" s="315"/>
      <c r="BA30" s="315"/>
      <c r="BB30" s="315"/>
      <c r="BC30" s="315"/>
      <c r="BD30" s="315"/>
      <c r="BE30" s="315"/>
      <c r="BF30" s="315"/>
      <c r="BG30" s="315"/>
      <c r="BH30" s="315"/>
      <c r="BI30" s="315"/>
      <c r="BJ30" s="315"/>
      <c r="BK30" s="316"/>
      <c r="BL30" s="319"/>
      <c r="BM30" s="319"/>
      <c r="BN30" s="319"/>
      <c r="BO30" s="319"/>
      <c r="BP30" s="319"/>
      <c r="BQ30" s="329"/>
      <c r="BR30" s="329"/>
      <c r="BS30" s="329"/>
    </row>
    <row r="31" spans="1:71" ht="13.5" thickBot="1">
      <c r="A31" s="339" t="s">
        <v>1506</v>
      </c>
      <c r="B31" s="336">
        <f>Application!D105</f>
        <v>0</v>
      </c>
      <c r="C31" s="323"/>
      <c r="D31" s="337"/>
      <c r="E31" s="1016"/>
      <c r="F31" s="1014"/>
      <c r="G31" s="323"/>
      <c r="H31" s="323"/>
      <c r="I31" s="323"/>
      <c r="K31" s="318"/>
      <c r="L31" s="324"/>
      <c r="M31" s="324"/>
      <c r="O31" s="319"/>
      <c r="P31" s="319"/>
      <c r="Q31" s="319"/>
      <c r="R31" s="315"/>
      <c r="S31" s="319"/>
      <c r="AG31" s="316"/>
      <c r="AH31" s="316"/>
      <c r="AI31" s="316"/>
      <c r="AJ31" s="316"/>
      <c r="AK31" s="316"/>
      <c r="AL31" s="316"/>
      <c r="AM31" s="316"/>
      <c r="AN31" s="316"/>
      <c r="AO31" s="316"/>
      <c r="AP31" s="316"/>
      <c r="AQ31" s="319"/>
      <c r="AR31" s="315"/>
      <c r="AS31" s="315"/>
      <c r="AT31" s="316"/>
      <c r="AU31" s="316"/>
      <c r="AV31" s="315"/>
      <c r="AW31" s="316"/>
      <c r="AX31" s="316"/>
      <c r="AY31" s="319"/>
      <c r="AZ31" s="315"/>
      <c r="BA31" s="315"/>
      <c r="BB31" s="315"/>
      <c r="BC31" s="315"/>
      <c r="BD31" s="315"/>
      <c r="BE31" s="315"/>
      <c r="BF31" s="315"/>
      <c r="BG31" s="315"/>
      <c r="BH31" s="315"/>
      <c r="BI31" s="315"/>
      <c r="BJ31" s="315"/>
      <c r="BK31" s="316"/>
      <c r="BL31" s="319"/>
      <c r="BM31" s="319"/>
      <c r="BN31" s="319"/>
      <c r="BO31" s="319"/>
      <c r="BP31" s="319"/>
      <c r="BQ31" s="329"/>
      <c r="BR31" s="329"/>
      <c r="BS31" s="329"/>
    </row>
    <row r="32" spans="1:71" ht="13.5" thickBot="1">
      <c r="A32" s="339" t="s">
        <v>1507</v>
      </c>
      <c r="B32" s="336">
        <f>Application!D104</f>
        <v>0</v>
      </c>
      <c r="C32" s="323"/>
      <c r="D32" s="337"/>
      <c r="E32" s="338" t="s">
        <v>1807</v>
      </c>
      <c r="F32" s="331">
        <f>0.75*F29</f>
        <v>0.15000000000000002</v>
      </c>
      <c r="G32" s="323"/>
      <c r="H32" s="323"/>
      <c r="I32" s="323"/>
      <c r="K32" s="318"/>
      <c r="L32" s="324"/>
      <c r="M32" s="324"/>
      <c r="O32" s="316"/>
      <c r="P32" s="316"/>
      <c r="Q32" s="316"/>
      <c r="R32" s="319"/>
      <c r="S32" s="319"/>
      <c r="AG32" s="316"/>
      <c r="AH32" s="316"/>
      <c r="AI32" s="316"/>
      <c r="AJ32" s="316"/>
      <c r="AK32" s="316"/>
      <c r="AL32" s="316"/>
      <c r="AM32" s="316"/>
      <c r="AN32" s="316"/>
      <c r="AO32" s="316"/>
      <c r="AP32" s="316"/>
      <c r="AQ32" s="319"/>
      <c r="AR32" s="315"/>
      <c r="AS32" s="315"/>
      <c r="AT32" s="316"/>
      <c r="AU32" s="316"/>
      <c r="AV32" s="316"/>
      <c r="AW32" s="316"/>
      <c r="AX32" s="316"/>
      <c r="AY32" s="319"/>
      <c r="AZ32" s="315"/>
      <c r="BA32" s="315"/>
      <c r="BB32" s="315"/>
      <c r="BC32" s="315"/>
      <c r="BD32" s="315"/>
      <c r="BE32" s="315"/>
      <c r="BF32" s="315"/>
      <c r="BG32" s="315"/>
      <c r="BH32" s="315"/>
      <c r="BI32" s="315"/>
      <c r="BJ32" s="315"/>
      <c r="BK32" s="316"/>
      <c r="BL32" s="319"/>
      <c r="BM32" s="319"/>
      <c r="BN32" s="319"/>
      <c r="BO32" s="319"/>
      <c r="BP32" s="319"/>
      <c r="BQ32" s="329"/>
      <c r="BR32" s="329"/>
      <c r="BS32" s="329"/>
    </row>
    <row r="33" spans="1:71" ht="13.5" thickBot="1">
      <c r="A33" s="339" t="s">
        <v>1109</v>
      </c>
      <c r="B33" s="336">
        <f>Application!D98</f>
        <v>0</v>
      </c>
      <c r="C33" s="323"/>
      <c r="D33" s="337"/>
      <c r="E33" s="1012" t="s">
        <v>1808</v>
      </c>
      <c r="F33" s="344">
        <f>0.05*LH_-0.15</f>
        <v>-0.15</v>
      </c>
      <c r="G33" s="323"/>
      <c r="H33" s="323"/>
      <c r="I33" s="323"/>
      <c r="K33" s="318"/>
      <c r="L33" s="324"/>
      <c r="M33" s="324"/>
      <c r="O33" s="317"/>
      <c r="P33" s="316"/>
      <c r="Q33" s="316"/>
      <c r="R33" s="319"/>
      <c r="S33" s="319"/>
      <c r="AG33" s="316"/>
      <c r="AH33" s="316"/>
      <c r="AI33" s="316"/>
      <c r="AJ33" s="316"/>
      <c r="AK33" s="316"/>
      <c r="AL33" s="316"/>
      <c r="AM33" s="316"/>
      <c r="AN33" s="316"/>
      <c r="AO33" s="316"/>
      <c r="AP33" s="316"/>
      <c r="AQ33" s="316"/>
      <c r="AR33" s="316"/>
      <c r="AS33" s="316"/>
      <c r="AT33" s="316"/>
      <c r="AU33" s="316"/>
      <c r="AV33" s="316"/>
      <c r="AW33" s="316"/>
      <c r="AX33" s="316"/>
      <c r="AY33" s="319"/>
      <c r="AZ33" s="315"/>
      <c r="BA33" s="315"/>
      <c r="BB33" s="315"/>
      <c r="BC33" s="315"/>
      <c r="BD33" s="315"/>
      <c r="BE33" s="315"/>
      <c r="BF33" s="315"/>
      <c r="BG33" s="315"/>
      <c r="BH33" s="315"/>
      <c r="BI33" s="315"/>
      <c r="BJ33" s="315"/>
      <c r="BK33" s="316"/>
      <c r="BL33" s="319"/>
      <c r="BM33" s="319"/>
      <c r="BN33" s="319"/>
      <c r="BO33" s="319"/>
      <c r="BP33" s="319"/>
      <c r="BQ33" s="329"/>
      <c r="BR33" s="329"/>
      <c r="BS33" s="329"/>
    </row>
    <row r="34" spans="1:71" ht="13.5" thickBot="1">
      <c r="A34" s="339" t="s">
        <v>1110</v>
      </c>
      <c r="B34" s="336">
        <f>Application!D99</f>
        <v>0</v>
      </c>
      <c r="C34" s="323"/>
      <c r="D34" s="337"/>
      <c r="E34" s="1015"/>
      <c r="F34" s="345">
        <f>IF(F33&lt;0.15,0.15,F33)</f>
        <v>0.15</v>
      </c>
      <c r="G34" s="323"/>
      <c r="H34" s="323"/>
      <c r="I34" s="323"/>
      <c r="K34" s="318"/>
      <c r="L34" s="324"/>
      <c r="M34" s="324"/>
      <c r="O34" s="319"/>
      <c r="P34" s="315"/>
      <c r="Q34" s="315"/>
      <c r="R34" s="319"/>
      <c r="S34" s="319"/>
      <c r="AG34" s="316"/>
      <c r="AH34" s="324"/>
      <c r="AI34" s="324"/>
      <c r="AJ34" s="316"/>
      <c r="AK34" s="316"/>
      <c r="AL34" s="316"/>
      <c r="AM34" s="316"/>
      <c r="AN34" s="316"/>
      <c r="AO34" s="316"/>
      <c r="AP34" s="316"/>
      <c r="AQ34" s="317"/>
      <c r="AR34" s="317"/>
      <c r="AS34" s="317"/>
      <c r="AT34" s="316"/>
      <c r="AU34" s="316"/>
      <c r="AV34" s="316"/>
      <c r="AW34" s="316"/>
      <c r="AX34" s="316"/>
      <c r="AY34" s="319"/>
      <c r="AZ34" s="315"/>
      <c r="BA34" s="315"/>
      <c r="BB34" s="315"/>
      <c r="BC34" s="319"/>
      <c r="BD34" s="320"/>
      <c r="BE34" s="346"/>
      <c r="BF34" s="315"/>
      <c r="BG34" s="315"/>
      <c r="BH34" s="315"/>
      <c r="BI34" s="320"/>
      <c r="BJ34" s="316"/>
      <c r="BK34" s="316"/>
      <c r="BL34" s="319"/>
      <c r="BM34" s="319"/>
      <c r="BN34" s="319"/>
      <c r="BO34" s="319"/>
      <c r="BP34" s="319"/>
      <c r="BQ34" s="329"/>
      <c r="BR34" s="329"/>
      <c r="BS34" s="329"/>
    </row>
    <row r="35" spans="1:71" ht="13.5" thickBot="1">
      <c r="A35" s="339" t="s">
        <v>1126</v>
      </c>
      <c r="B35" s="336">
        <f>Application!D100</f>
        <v>0</v>
      </c>
      <c r="C35" s="323"/>
      <c r="D35" s="337"/>
      <c r="E35" s="1015"/>
      <c r="F35" s="347">
        <f>0.65*F34</f>
        <v>9.7500000000000003E-2</v>
      </c>
      <c r="G35" s="323"/>
      <c r="H35" s="323"/>
      <c r="I35" s="323"/>
      <c r="K35" s="318"/>
      <c r="L35" s="324"/>
      <c r="M35" s="324"/>
      <c r="O35" s="319"/>
      <c r="P35" s="315"/>
      <c r="Q35" s="315"/>
      <c r="R35" s="319"/>
      <c r="S35" s="319"/>
      <c r="AG35" s="316"/>
      <c r="AH35" s="324"/>
      <c r="AI35" s="324"/>
      <c r="AJ35" s="316"/>
      <c r="AK35" s="316"/>
      <c r="AL35" s="316"/>
      <c r="AM35" s="316"/>
      <c r="AN35" s="316"/>
      <c r="AO35" s="316"/>
      <c r="AP35" s="316"/>
      <c r="AQ35" s="319"/>
      <c r="AR35" s="315"/>
      <c r="AS35" s="315"/>
      <c r="AT35" s="316"/>
      <c r="AU35" s="316"/>
      <c r="AV35" s="316"/>
      <c r="AW35" s="316"/>
      <c r="AX35" s="316"/>
      <c r="AY35" s="316"/>
      <c r="AZ35" s="316"/>
      <c r="BA35" s="316"/>
      <c r="BB35" s="316"/>
      <c r="BC35" s="324"/>
      <c r="BD35" s="324"/>
      <c r="BE35" s="342"/>
      <c r="BF35" s="315"/>
      <c r="BG35" s="315"/>
      <c r="BH35" s="315"/>
      <c r="BI35" s="320"/>
      <c r="BJ35" s="316"/>
      <c r="BK35" s="316"/>
      <c r="BL35" s="319"/>
      <c r="BM35" s="319"/>
      <c r="BN35" s="319"/>
      <c r="BO35" s="319"/>
      <c r="BP35" s="319"/>
      <c r="BQ35" s="329"/>
      <c r="BR35" s="329"/>
      <c r="BS35" s="329"/>
    </row>
    <row r="36" spans="1:71" ht="13.5" thickBot="1">
      <c r="A36" s="348" t="s">
        <v>195</v>
      </c>
      <c r="B36" s="336">
        <f>Application!D101</f>
        <v>0</v>
      </c>
      <c r="C36" s="323"/>
      <c r="D36" s="337"/>
      <c r="E36" s="1015"/>
      <c r="F36" s="347">
        <f>0.99*F34</f>
        <v>0.14849999999999999</v>
      </c>
      <c r="G36" s="323"/>
      <c r="H36" s="323"/>
      <c r="I36" s="323"/>
      <c r="K36" s="318"/>
      <c r="L36" s="324"/>
      <c r="M36" s="324"/>
      <c r="O36" s="319"/>
      <c r="P36" s="315"/>
      <c r="Q36" s="315"/>
      <c r="R36" s="315"/>
      <c r="S36" s="319"/>
      <c r="AG36" s="316"/>
      <c r="AH36" s="324"/>
      <c r="AI36" s="324"/>
      <c r="AJ36" s="316"/>
      <c r="AK36" s="316"/>
      <c r="AL36" s="316"/>
      <c r="AM36" s="316"/>
      <c r="AN36" s="316"/>
      <c r="AO36" s="316"/>
      <c r="AP36" s="316"/>
      <c r="AQ36" s="315"/>
      <c r="AR36" s="315"/>
      <c r="AS36" s="315"/>
      <c r="AT36" s="316"/>
      <c r="AU36" s="316"/>
      <c r="AV36" s="316"/>
      <c r="AW36" s="316"/>
      <c r="AX36" s="316"/>
      <c r="AY36" s="316"/>
      <c r="AZ36" s="316"/>
      <c r="BA36" s="316"/>
      <c r="BB36" s="316"/>
      <c r="BC36" s="324"/>
      <c r="BD36" s="324"/>
      <c r="BE36" s="342"/>
      <c r="BF36" s="316"/>
      <c r="BG36" s="316"/>
      <c r="BH36" s="316"/>
      <c r="BI36" s="316"/>
      <c r="BJ36" s="316"/>
      <c r="BK36" s="316"/>
      <c r="BL36" s="319"/>
      <c r="BM36" s="319"/>
      <c r="BN36" s="319"/>
      <c r="BO36" s="319"/>
      <c r="BP36" s="319"/>
      <c r="BQ36" s="329"/>
      <c r="BR36" s="329"/>
      <c r="BS36" s="329"/>
    </row>
    <row r="37" spans="1:71" ht="13.5" thickBot="1">
      <c r="A37" s="350" t="s">
        <v>2555</v>
      </c>
      <c r="B37" s="336">
        <f>Application!D102</f>
        <v>0</v>
      </c>
      <c r="C37" s="323"/>
      <c r="D37" s="337"/>
      <c r="E37" s="1015"/>
      <c r="F37" s="347">
        <f>0.99*F34</f>
        <v>0.14849999999999999</v>
      </c>
      <c r="G37" s="323"/>
      <c r="H37" s="323"/>
      <c r="I37" s="323"/>
      <c r="K37" s="318"/>
      <c r="L37" s="324"/>
      <c r="M37" s="324"/>
      <c r="O37" s="319"/>
      <c r="P37" s="315"/>
      <c r="Q37" s="315"/>
      <c r="R37" s="315"/>
      <c r="S37" s="319"/>
      <c r="AG37" s="316"/>
      <c r="AH37" s="324"/>
      <c r="AI37" s="324"/>
      <c r="AJ37" s="316"/>
      <c r="AK37" s="316"/>
      <c r="AL37" s="316"/>
      <c r="AM37" s="316"/>
      <c r="AN37" s="316"/>
      <c r="AO37" s="316"/>
      <c r="AP37" s="316"/>
      <c r="AQ37" s="315"/>
      <c r="AR37" s="315"/>
      <c r="AS37" s="315"/>
      <c r="AT37" s="316"/>
      <c r="AU37" s="316"/>
      <c r="AV37" s="316"/>
      <c r="AW37" s="316"/>
      <c r="AX37" s="316"/>
      <c r="AY37" s="316"/>
      <c r="AZ37" s="316"/>
      <c r="BA37" s="316"/>
      <c r="BB37" s="316"/>
      <c r="BC37" s="316"/>
      <c r="BD37" s="316"/>
      <c r="BE37" s="316"/>
      <c r="BF37" s="316"/>
      <c r="BG37" s="316"/>
      <c r="BH37" s="316"/>
      <c r="BI37" s="316"/>
      <c r="BJ37" s="316"/>
      <c r="BK37" s="316"/>
      <c r="BL37" s="319"/>
      <c r="BM37" s="319"/>
      <c r="BN37" s="319"/>
      <c r="BO37" s="319"/>
      <c r="BP37" s="319"/>
      <c r="BQ37" s="329"/>
      <c r="BR37" s="329"/>
      <c r="BS37" s="329"/>
    </row>
    <row r="38" spans="1:71" ht="13.5" thickBot="1">
      <c r="A38" s="350" t="s">
        <v>188</v>
      </c>
      <c r="B38" s="349">
        <f>IF(B111&gt;0.09,B111,0.09)</f>
        <v>0.09</v>
      </c>
      <c r="C38" s="323"/>
      <c r="D38" s="337"/>
      <c r="E38" s="1016"/>
      <c r="F38" s="347">
        <f>0.56*F34</f>
        <v>8.4000000000000005E-2</v>
      </c>
      <c r="G38" s="323"/>
      <c r="H38" s="323"/>
      <c r="I38" s="323"/>
      <c r="K38" s="318"/>
      <c r="L38" s="324"/>
      <c r="M38" s="324"/>
      <c r="O38" s="319"/>
      <c r="P38" s="315"/>
      <c r="Q38" s="315"/>
      <c r="R38" s="315"/>
      <c r="S38" s="319"/>
      <c r="AG38" s="316"/>
      <c r="AH38" s="324"/>
      <c r="AI38" s="324"/>
      <c r="AJ38" s="320"/>
      <c r="AK38" s="320"/>
      <c r="AL38" s="320"/>
      <c r="AM38" s="316"/>
      <c r="AN38" s="316"/>
      <c r="AO38" s="316"/>
      <c r="AP38" s="316"/>
      <c r="AQ38" s="315"/>
      <c r="AR38" s="315"/>
      <c r="AS38" s="315"/>
      <c r="AT38" s="316"/>
      <c r="AU38" s="316"/>
      <c r="AV38" s="316"/>
      <c r="AW38" s="316"/>
      <c r="AX38" s="316"/>
      <c r="AY38" s="316"/>
      <c r="AZ38" s="316"/>
      <c r="BA38" s="316"/>
      <c r="BB38" s="316"/>
      <c r="BC38" s="316"/>
      <c r="BD38" s="316"/>
      <c r="BE38" s="316"/>
      <c r="BF38" s="316"/>
      <c r="BG38" s="316"/>
      <c r="BH38" s="316"/>
      <c r="BI38" s="316"/>
      <c r="BJ38" s="316"/>
      <c r="BK38" s="316"/>
      <c r="BL38" s="319"/>
      <c r="BM38" s="319"/>
      <c r="BN38" s="319"/>
      <c r="BO38" s="319"/>
      <c r="BP38" s="319"/>
      <c r="BQ38" s="329"/>
      <c r="BR38" s="329"/>
      <c r="BS38" s="329"/>
    </row>
    <row r="39" spans="1:71" ht="13.5" thickBot="1">
      <c r="A39" s="348" t="s">
        <v>1809</v>
      </c>
      <c r="B39" s="373" t="b">
        <f>Application!E316</f>
        <v>0</v>
      </c>
      <c r="C39" s="323"/>
      <c r="D39" s="337"/>
      <c r="E39" s="1012" t="s">
        <v>1810</v>
      </c>
      <c r="F39" s="1022">
        <f>IF(0.015*LH_+0.08&gt;0.9,0.9,IF(0.015*LH_+0.08&lt;0.1,0.1,0.015*LH_+0.08))</f>
        <v>0.1</v>
      </c>
      <c r="G39" s="323"/>
      <c r="H39" s="323"/>
      <c r="I39" s="323"/>
      <c r="K39" s="318"/>
      <c r="L39" s="324"/>
      <c r="M39" s="324"/>
      <c r="O39" s="319"/>
      <c r="P39" s="315"/>
      <c r="Q39" s="315"/>
      <c r="R39" s="315"/>
      <c r="S39" s="319"/>
      <c r="AG39" s="316"/>
      <c r="AH39" s="324"/>
      <c r="AI39" s="324"/>
      <c r="AJ39" s="320"/>
      <c r="AK39" s="320"/>
      <c r="AL39" s="320"/>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9"/>
      <c r="BM39" s="319"/>
      <c r="BN39" s="319"/>
      <c r="BO39" s="319"/>
      <c r="BP39" s="319"/>
      <c r="BQ39" s="329"/>
      <c r="BR39" s="329"/>
      <c r="BS39" s="329"/>
    </row>
    <row r="40" spans="1:71" ht="13.5" thickBot="1">
      <c r="A40" s="350" t="s">
        <v>980</v>
      </c>
      <c r="B40" s="349">
        <f>Application!D91</f>
        <v>0</v>
      </c>
      <c r="C40" s="323"/>
      <c r="D40" s="337"/>
      <c r="E40" s="1013"/>
      <c r="F40" s="1023"/>
      <c r="G40" s="323"/>
      <c r="H40" s="323"/>
      <c r="I40" s="323"/>
      <c r="K40" s="318"/>
      <c r="L40" s="324"/>
      <c r="M40" s="324"/>
      <c r="O40" s="319"/>
      <c r="P40" s="315"/>
      <c r="Q40" s="315"/>
      <c r="R40" s="315"/>
      <c r="S40" s="319"/>
      <c r="AG40" s="316"/>
      <c r="AH40" s="324"/>
      <c r="AI40" s="324"/>
      <c r="AJ40" s="320"/>
      <c r="AK40" s="346"/>
      <c r="AL40" s="346"/>
      <c r="AM40" s="316"/>
      <c r="AN40" s="316"/>
      <c r="AO40" s="316"/>
      <c r="AP40" s="316"/>
      <c r="AQ40" s="319"/>
      <c r="AR40" s="319"/>
      <c r="AS40" s="319"/>
      <c r="AT40" s="316"/>
      <c r="AU40" s="316"/>
      <c r="AV40" s="316"/>
      <c r="AW40" s="316"/>
      <c r="AX40" s="316"/>
      <c r="AY40" s="316"/>
      <c r="AZ40" s="316"/>
      <c r="BA40" s="316"/>
      <c r="BB40" s="316"/>
      <c r="BC40" s="316"/>
      <c r="BD40" s="316"/>
      <c r="BE40" s="316"/>
      <c r="BF40" s="316"/>
      <c r="BG40" s="316"/>
      <c r="BH40" s="316"/>
      <c r="BI40" s="316"/>
      <c r="BJ40" s="316"/>
      <c r="BK40" s="316"/>
      <c r="BL40" s="319"/>
      <c r="BM40" s="319"/>
      <c r="BN40" s="319"/>
      <c r="BO40" s="319"/>
      <c r="BP40" s="319"/>
      <c r="BQ40" s="329"/>
      <c r="BR40" s="329"/>
      <c r="BS40" s="329"/>
    </row>
    <row r="41" spans="1:71" ht="13.5" thickBot="1">
      <c r="A41" s="350" t="s">
        <v>1811</v>
      </c>
      <c r="B41" s="336">
        <f>Application!D130</f>
        <v>0</v>
      </c>
      <c r="C41" s="351"/>
      <c r="D41" s="352"/>
      <c r="E41" s="1014"/>
      <c r="F41" s="1024"/>
      <c r="G41" s="351"/>
      <c r="H41" s="351"/>
      <c r="I41" s="351"/>
      <c r="K41" s="318"/>
      <c r="L41" s="324"/>
      <c r="M41" s="324"/>
      <c r="O41" s="319"/>
      <c r="P41" s="315"/>
      <c r="Q41" s="315"/>
      <c r="R41" s="315"/>
      <c r="S41" s="319"/>
      <c r="AG41" s="316"/>
      <c r="AH41" s="324"/>
      <c r="AI41" s="324"/>
      <c r="AJ41" s="320"/>
      <c r="AK41" s="346"/>
      <c r="AL41" s="346"/>
      <c r="AM41" s="316"/>
      <c r="AN41" s="316"/>
      <c r="AO41" s="316"/>
      <c r="AP41" s="316"/>
      <c r="AQ41" s="319"/>
      <c r="AR41" s="319"/>
      <c r="AS41" s="319"/>
      <c r="AT41" s="316"/>
      <c r="AU41" s="316"/>
      <c r="AV41" s="316"/>
      <c r="AW41" s="316"/>
      <c r="AX41" s="316"/>
      <c r="AY41" s="316"/>
      <c r="AZ41" s="316"/>
      <c r="BA41" s="316"/>
      <c r="BB41" s="316"/>
      <c r="BC41" s="316"/>
      <c r="BD41" s="319"/>
      <c r="BE41" s="319"/>
      <c r="BF41" s="319"/>
      <c r="BG41" s="319"/>
      <c r="BH41" s="319"/>
      <c r="BI41" s="319"/>
      <c r="BJ41" s="319"/>
      <c r="BK41" s="319"/>
      <c r="BL41" s="319"/>
      <c r="BM41" s="319"/>
      <c r="BN41" s="319"/>
      <c r="BO41" s="319"/>
      <c r="BP41" s="319"/>
      <c r="BQ41" s="329"/>
      <c r="BR41" s="329"/>
      <c r="BS41" s="329"/>
    </row>
    <row r="42" spans="1:71">
      <c r="A42" s="318"/>
      <c r="B42" s="317"/>
      <c r="C42" s="317"/>
      <c r="D42" s="353"/>
      <c r="E42" s="1002" t="s">
        <v>1812</v>
      </c>
      <c r="F42" s="331">
        <f>LH_-J_-F18</f>
        <v>0</v>
      </c>
      <c r="G42" s="317"/>
      <c r="H42" s="317"/>
      <c r="I42" s="317"/>
      <c r="K42" s="318"/>
      <c r="L42" s="324"/>
      <c r="M42" s="324"/>
      <c r="O42" s="319"/>
      <c r="P42" s="315"/>
      <c r="Q42" s="315"/>
      <c r="R42" s="315"/>
      <c r="S42" s="319"/>
      <c r="AG42" s="316"/>
      <c r="AH42" s="324"/>
      <c r="AI42" s="324"/>
      <c r="AJ42" s="320"/>
      <c r="AK42" s="346"/>
      <c r="AL42" s="346"/>
      <c r="AM42" s="316"/>
      <c r="AN42" s="316"/>
      <c r="AO42" s="316"/>
      <c r="AP42" s="316"/>
      <c r="AQ42" s="315"/>
      <c r="AR42" s="315"/>
      <c r="AS42" s="319"/>
      <c r="AT42" s="316"/>
      <c r="AU42" s="316"/>
      <c r="AV42" s="316"/>
      <c r="AW42" s="316"/>
      <c r="AX42" s="316"/>
      <c r="AY42" s="316"/>
      <c r="AZ42" s="316"/>
      <c r="BA42" s="316"/>
      <c r="BB42" s="316"/>
      <c r="BC42" s="316"/>
      <c r="BD42" s="319"/>
      <c r="BE42" s="319"/>
      <c r="BF42" s="319"/>
      <c r="BG42" s="319"/>
      <c r="BH42" s="319"/>
      <c r="BI42" s="319"/>
      <c r="BJ42" s="319"/>
      <c r="BK42" s="319"/>
      <c r="BL42" s="319"/>
      <c r="BM42" s="319"/>
      <c r="BN42" s="319"/>
      <c r="BO42" s="319"/>
      <c r="BP42" s="319"/>
      <c r="BQ42" s="329"/>
      <c r="BR42" s="329"/>
      <c r="BS42" s="329"/>
    </row>
    <row r="43" spans="1:71">
      <c r="E43" s="1004"/>
      <c r="F43" s="331">
        <v>0</v>
      </c>
      <c r="K43" s="318"/>
      <c r="L43" s="324"/>
      <c r="M43" s="324"/>
      <c r="O43" s="319"/>
      <c r="P43" s="315"/>
      <c r="Q43" s="315"/>
      <c r="R43" s="315"/>
      <c r="S43" s="319"/>
      <c r="AG43" s="316"/>
      <c r="AH43" s="324"/>
      <c r="AI43" s="324"/>
      <c r="AJ43" s="320"/>
      <c r="AK43" s="346"/>
      <c r="AL43" s="346"/>
      <c r="AM43" s="316"/>
      <c r="AN43" s="316"/>
      <c r="AO43" s="316"/>
      <c r="AP43" s="316"/>
      <c r="AQ43" s="315"/>
      <c r="AR43" s="315"/>
      <c r="AS43" s="319"/>
      <c r="AT43" s="316"/>
      <c r="AU43" s="316"/>
      <c r="AV43" s="316"/>
      <c r="AW43" s="316"/>
      <c r="AX43" s="316"/>
      <c r="AY43" s="316"/>
      <c r="AZ43" s="316"/>
      <c r="BA43" s="316"/>
      <c r="BB43" s="316"/>
      <c r="BC43" s="316"/>
      <c r="BD43" s="319"/>
      <c r="BE43" s="319"/>
      <c r="BF43" s="319"/>
      <c r="BG43" s="319"/>
      <c r="BH43" s="319"/>
      <c r="BI43" s="319"/>
      <c r="BJ43" s="319"/>
      <c r="BK43" s="319"/>
      <c r="BL43" s="319"/>
      <c r="BM43" s="319"/>
      <c r="BN43" s="319"/>
      <c r="BO43" s="319"/>
      <c r="BP43" s="319"/>
      <c r="BQ43" s="329"/>
      <c r="BR43" s="329"/>
      <c r="BS43" s="329"/>
    </row>
    <row r="44" spans="1:71">
      <c r="E44" s="330" t="s">
        <v>1813</v>
      </c>
      <c r="F44" s="331">
        <f>F17*PI()/180</f>
        <v>2.6179938779914941E-2</v>
      </c>
      <c r="K44" s="318"/>
      <c r="L44" s="324"/>
      <c r="M44" s="324"/>
      <c r="O44" s="319"/>
      <c r="P44" s="315"/>
      <c r="Q44" s="315"/>
      <c r="R44" s="315"/>
      <c r="S44" s="319"/>
      <c r="AG44" s="316"/>
      <c r="AH44" s="324"/>
      <c r="AI44" s="324"/>
      <c r="AJ44" s="346"/>
      <c r="AK44" s="354"/>
      <c r="AL44" s="346"/>
      <c r="AM44" s="316"/>
      <c r="AN44" s="316"/>
      <c r="AO44" s="316"/>
      <c r="AP44" s="316"/>
      <c r="AQ44" s="315"/>
      <c r="AR44" s="315"/>
      <c r="AS44" s="319"/>
      <c r="AT44" s="316"/>
      <c r="AU44" s="316"/>
      <c r="AV44" s="316"/>
      <c r="AW44" s="316"/>
      <c r="AX44" s="316"/>
      <c r="AY44" s="316"/>
      <c r="AZ44" s="316"/>
      <c r="BA44" s="316"/>
      <c r="BB44" s="316"/>
      <c r="BC44" s="316"/>
      <c r="BD44" s="319"/>
      <c r="BE44" s="319"/>
      <c r="BF44" s="319"/>
      <c r="BG44" s="319"/>
      <c r="BH44" s="319"/>
      <c r="BI44" s="319"/>
      <c r="BJ44" s="319"/>
      <c r="BK44" s="319"/>
      <c r="BL44" s="319"/>
      <c r="BM44" s="319"/>
      <c r="BN44" s="319"/>
      <c r="BO44" s="319"/>
      <c r="BP44" s="319"/>
      <c r="BQ44" s="329"/>
      <c r="BR44" s="329"/>
      <c r="BS44" s="329"/>
    </row>
    <row r="45" spans="1:71">
      <c r="E45" s="355" t="s">
        <v>1814</v>
      </c>
      <c r="F45" s="331" t="e">
        <f>F21*PI()/180</f>
        <v>#DIV/0!</v>
      </c>
      <c r="K45" s="316"/>
      <c r="L45" s="317"/>
      <c r="M45" s="316"/>
      <c r="O45" s="319"/>
      <c r="P45" s="315"/>
      <c r="Q45" s="315"/>
      <c r="R45" s="315"/>
      <c r="S45" s="319"/>
      <c r="AG45" s="316"/>
      <c r="AH45" s="324"/>
      <c r="AI45" s="324"/>
      <c r="AJ45" s="346"/>
      <c r="AK45" s="346"/>
      <c r="AL45" s="342"/>
      <c r="AM45" s="316"/>
      <c r="AN45" s="316"/>
      <c r="AO45" s="316"/>
      <c r="AP45" s="316"/>
      <c r="AQ45" s="319"/>
      <c r="AR45" s="315"/>
      <c r="AS45" s="319"/>
      <c r="AT45" s="316"/>
      <c r="AU45" s="316"/>
      <c r="AV45" s="316"/>
      <c r="AW45" s="316"/>
      <c r="AX45" s="316"/>
      <c r="AY45" s="316"/>
      <c r="AZ45" s="316"/>
      <c r="BA45" s="316"/>
      <c r="BB45" s="316"/>
      <c r="BC45" s="316"/>
      <c r="BD45" s="319"/>
      <c r="BE45" s="319"/>
      <c r="BF45" s="319"/>
      <c r="BG45" s="319"/>
      <c r="BH45" s="319"/>
      <c r="BI45" s="319"/>
      <c r="BJ45" s="319"/>
      <c r="BK45" s="319"/>
      <c r="BL45" s="319"/>
      <c r="BM45" s="319"/>
      <c r="BN45" s="319"/>
      <c r="BO45" s="319"/>
      <c r="BP45" s="319"/>
      <c r="BQ45" s="329"/>
      <c r="BR45" s="329"/>
      <c r="BS45" s="329"/>
    </row>
    <row r="46" spans="1:71">
      <c r="A46" s="318"/>
      <c r="B46" s="317"/>
      <c r="C46" s="317"/>
      <c r="D46" s="353"/>
      <c r="E46" s="1012" t="s">
        <v>1815</v>
      </c>
      <c r="F46" s="331">
        <f>LH_-F18</f>
        <v>0</v>
      </c>
      <c r="G46" s="317"/>
      <c r="H46" s="317"/>
      <c r="I46" s="317"/>
      <c r="K46" s="316"/>
      <c r="L46" s="317"/>
      <c r="M46" s="346"/>
      <c r="N46" s="316"/>
      <c r="O46" s="319"/>
      <c r="P46" s="315"/>
      <c r="Q46" s="315"/>
      <c r="R46" s="315"/>
      <c r="S46" s="319"/>
      <c r="AG46" s="316"/>
      <c r="AH46" s="324"/>
      <c r="AI46" s="324"/>
      <c r="AJ46" s="346"/>
      <c r="AK46" s="346"/>
      <c r="AL46" s="342"/>
      <c r="AM46" s="316"/>
      <c r="AN46" s="316"/>
      <c r="AO46" s="316"/>
      <c r="AP46" s="316"/>
      <c r="AQ46" s="316"/>
      <c r="AR46" s="316"/>
      <c r="AS46" s="319"/>
      <c r="AT46" s="316"/>
      <c r="AU46" s="316"/>
      <c r="AV46" s="316"/>
      <c r="AW46" s="316"/>
      <c r="AX46" s="316"/>
      <c r="AY46" s="316"/>
      <c r="AZ46" s="316"/>
      <c r="BA46" s="316"/>
      <c r="BB46" s="316"/>
      <c r="BC46" s="316"/>
      <c r="BD46" s="319"/>
      <c r="BE46" s="319"/>
      <c r="BF46" s="319"/>
      <c r="BG46" s="319"/>
      <c r="BH46" s="319"/>
      <c r="BI46" s="319"/>
      <c r="BJ46" s="319"/>
      <c r="BK46" s="319"/>
      <c r="BL46" s="319"/>
      <c r="BM46" s="319"/>
      <c r="BN46" s="319"/>
      <c r="BO46" s="319"/>
      <c r="BP46" s="319"/>
      <c r="BQ46" s="329"/>
      <c r="BR46" s="329"/>
      <c r="BS46" s="329"/>
    </row>
    <row r="47" spans="1:71">
      <c r="B47" s="317"/>
      <c r="C47" s="317"/>
      <c r="D47" s="353"/>
      <c r="E47" s="1015"/>
      <c r="F47" s="331">
        <f>F42</f>
        <v>0</v>
      </c>
      <c r="G47" s="317"/>
      <c r="H47" s="317"/>
      <c r="I47" s="317"/>
      <c r="K47" s="320"/>
      <c r="L47" s="346"/>
      <c r="M47" s="346"/>
      <c r="N47" s="324"/>
      <c r="O47" s="316"/>
      <c r="P47" s="316"/>
      <c r="Q47" s="316"/>
      <c r="R47" s="319"/>
      <c r="S47" s="319"/>
      <c r="AG47" s="316"/>
      <c r="AH47" s="324"/>
      <c r="AI47" s="324"/>
      <c r="AJ47" s="346"/>
      <c r="AK47" s="346"/>
      <c r="AL47" s="316"/>
      <c r="AM47" s="316"/>
      <c r="AN47" s="316"/>
      <c r="AO47" s="316"/>
      <c r="AP47" s="316"/>
      <c r="AQ47" s="316"/>
      <c r="AR47" s="316"/>
      <c r="AS47" s="316"/>
      <c r="AT47" s="316"/>
      <c r="AU47" s="316"/>
      <c r="AV47" s="316"/>
      <c r="AW47" s="316"/>
      <c r="AX47" s="316"/>
      <c r="AY47" s="316"/>
      <c r="AZ47" s="316"/>
      <c r="BA47" s="316"/>
      <c r="BB47" s="316"/>
      <c r="BC47" s="316"/>
      <c r="BD47" s="319"/>
      <c r="BE47" s="319"/>
      <c r="BF47" s="319"/>
      <c r="BG47" s="319"/>
      <c r="BH47" s="319"/>
      <c r="BI47" s="319"/>
      <c r="BJ47" s="319"/>
      <c r="BK47" s="319"/>
      <c r="BL47" s="319"/>
      <c r="BM47" s="319"/>
      <c r="BN47" s="319"/>
      <c r="BO47" s="319"/>
      <c r="BP47" s="319"/>
      <c r="BQ47" s="329"/>
      <c r="BR47" s="329"/>
      <c r="BS47" s="329"/>
    </row>
    <row r="48" spans="1:71">
      <c r="A48" s="320"/>
      <c r="B48" s="317"/>
      <c r="C48" s="317"/>
      <c r="D48" s="353"/>
      <c r="E48" s="1015"/>
      <c r="F48" s="331">
        <v>0</v>
      </c>
      <c r="G48" s="317"/>
      <c r="H48" s="317"/>
      <c r="I48" s="317"/>
      <c r="K48" s="317"/>
      <c r="L48" s="317"/>
      <c r="M48" s="316"/>
      <c r="N48" s="316"/>
      <c r="O48" s="312"/>
      <c r="P48" s="316"/>
      <c r="Q48" s="316"/>
      <c r="R48" s="319"/>
      <c r="AG48" s="316"/>
      <c r="AH48" s="324"/>
      <c r="AI48" s="324"/>
      <c r="AJ48" s="316"/>
      <c r="AK48" s="316"/>
      <c r="AL48" s="316"/>
      <c r="AM48" s="316"/>
      <c r="AN48" s="316"/>
      <c r="AO48" s="316"/>
      <c r="AP48" s="316"/>
      <c r="AQ48" s="317"/>
      <c r="AR48" s="319"/>
      <c r="AS48" s="319"/>
      <c r="AT48" s="316"/>
      <c r="AU48" s="316"/>
      <c r="AV48" s="316"/>
      <c r="AW48" s="316"/>
      <c r="AX48" s="316"/>
      <c r="AY48" s="316"/>
      <c r="AZ48" s="316"/>
      <c r="BA48" s="316"/>
      <c r="BB48" s="316"/>
      <c r="BC48" s="316"/>
      <c r="BD48" s="319"/>
      <c r="BE48" s="319"/>
      <c r="BF48" s="319"/>
      <c r="BG48" s="319"/>
      <c r="BH48" s="319"/>
      <c r="BI48" s="319"/>
      <c r="BJ48" s="319"/>
      <c r="BK48" s="319"/>
      <c r="BL48" s="319"/>
      <c r="BM48" s="319"/>
      <c r="BN48" s="319"/>
      <c r="BO48" s="319"/>
      <c r="BP48" s="319"/>
      <c r="BQ48" s="329"/>
      <c r="BR48" s="329"/>
      <c r="BS48" s="329"/>
    </row>
    <row r="49" spans="1:71">
      <c r="A49" s="318"/>
      <c r="B49" s="317"/>
      <c r="C49" s="317"/>
      <c r="D49" s="353"/>
      <c r="E49" s="1015"/>
      <c r="F49" s="331">
        <f>(FL_^2-J_^2)^0.5</f>
        <v>0</v>
      </c>
      <c r="G49" s="317"/>
      <c r="H49" s="317"/>
      <c r="I49" s="317"/>
      <c r="K49" s="1019"/>
      <c r="L49" s="1020"/>
      <c r="M49" s="320"/>
      <c r="O49" s="312"/>
      <c r="P49" s="320"/>
      <c r="Q49" s="356"/>
      <c r="R49" s="319"/>
      <c r="AG49" s="316"/>
      <c r="AH49" s="324"/>
      <c r="AI49" s="324"/>
      <c r="AJ49" s="316"/>
      <c r="AK49" s="316"/>
      <c r="AL49" s="316"/>
      <c r="AM49" s="316"/>
      <c r="AN49" s="316"/>
      <c r="AO49" s="316"/>
      <c r="AP49" s="316"/>
      <c r="AQ49" s="319"/>
      <c r="AR49" s="323"/>
      <c r="AS49" s="323"/>
      <c r="AT49" s="316"/>
      <c r="AU49" s="316"/>
      <c r="AV49" s="316"/>
      <c r="AW49" s="316"/>
      <c r="AX49" s="316"/>
      <c r="AY49" s="316"/>
      <c r="AZ49" s="316"/>
      <c r="BA49" s="316"/>
      <c r="BB49" s="316"/>
      <c r="BC49" s="316"/>
      <c r="BD49" s="319"/>
      <c r="BE49" s="319"/>
      <c r="BF49" s="319"/>
      <c r="BG49" s="319"/>
      <c r="BH49" s="319"/>
      <c r="BI49" s="319"/>
      <c r="BJ49" s="319"/>
      <c r="BK49" s="319"/>
      <c r="BL49" s="319"/>
      <c r="BM49" s="319"/>
      <c r="BN49" s="319"/>
      <c r="BO49" s="319"/>
      <c r="BP49" s="319"/>
      <c r="BQ49" s="329"/>
      <c r="BR49" s="329"/>
      <c r="BS49" s="329"/>
    </row>
    <row r="50" spans="1:71">
      <c r="A50" s="318"/>
      <c r="B50" s="317"/>
      <c r="C50" s="317"/>
      <c r="D50" s="353"/>
      <c r="E50" s="1017"/>
      <c r="F50" s="331">
        <v>0</v>
      </c>
      <c r="G50" s="317"/>
      <c r="H50" s="317"/>
      <c r="I50" s="317"/>
      <c r="K50" s="316"/>
      <c r="L50" s="317"/>
      <c r="M50" s="316"/>
      <c r="O50" s="312"/>
      <c r="P50" s="320"/>
      <c r="Q50" s="346"/>
      <c r="R50" s="319"/>
      <c r="AG50" s="316"/>
      <c r="AH50" s="324"/>
      <c r="AI50" s="324"/>
      <c r="AJ50" s="316"/>
      <c r="AK50" s="316"/>
      <c r="AL50" s="316"/>
      <c r="AM50" s="316"/>
      <c r="AN50" s="316"/>
      <c r="AO50" s="316"/>
      <c r="AP50" s="316"/>
      <c r="AQ50" s="319"/>
      <c r="AR50" s="323"/>
      <c r="AS50" s="323"/>
      <c r="AT50" s="316"/>
      <c r="AU50" s="316"/>
      <c r="AV50" s="316"/>
      <c r="AW50" s="316"/>
      <c r="AX50" s="316"/>
      <c r="AY50" s="316"/>
      <c r="AZ50" s="316"/>
      <c r="BA50" s="316"/>
      <c r="BB50" s="316"/>
      <c r="BC50" s="316"/>
      <c r="BD50" s="319"/>
      <c r="BE50" s="319"/>
      <c r="BF50" s="319"/>
      <c r="BG50" s="319"/>
      <c r="BH50" s="319"/>
      <c r="BI50" s="319"/>
      <c r="BJ50" s="319"/>
      <c r="BK50" s="319"/>
      <c r="BL50" s="319"/>
      <c r="BM50" s="319"/>
      <c r="BN50" s="319"/>
      <c r="BO50" s="319"/>
      <c r="BP50" s="319"/>
      <c r="BQ50" s="329"/>
      <c r="BR50" s="329"/>
      <c r="BS50" s="329"/>
    </row>
    <row r="51" spans="1:71">
      <c r="A51" s="318"/>
      <c r="B51" s="357"/>
      <c r="C51" s="357"/>
      <c r="D51" s="358"/>
      <c r="E51" s="1017"/>
      <c r="F51" s="331">
        <f>F49-F43</f>
        <v>0</v>
      </c>
      <c r="G51" s="357"/>
      <c r="H51" s="357"/>
      <c r="I51" s="357"/>
      <c r="K51" s="316"/>
      <c r="L51" s="317"/>
      <c r="M51" s="316"/>
      <c r="O51" s="312"/>
      <c r="P51" s="320"/>
      <c r="Q51" s="346"/>
      <c r="R51" s="319"/>
      <c r="AG51" s="316"/>
      <c r="AH51" s="324"/>
      <c r="AI51" s="324"/>
      <c r="AJ51" s="316"/>
      <c r="AK51" s="316"/>
      <c r="AL51" s="316"/>
      <c r="AM51" s="359"/>
      <c r="AN51" s="316"/>
      <c r="AO51" s="316"/>
      <c r="AP51" s="316"/>
      <c r="AQ51" s="342"/>
      <c r="AR51" s="315"/>
      <c r="AS51" s="315"/>
      <c r="AT51" s="317"/>
      <c r="AU51" s="316"/>
      <c r="AV51" s="316"/>
      <c r="AW51" s="316"/>
      <c r="AX51" s="316"/>
      <c r="AY51" s="316"/>
      <c r="AZ51" s="316"/>
      <c r="BA51" s="316"/>
      <c r="BB51" s="316"/>
      <c r="BC51" s="316"/>
      <c r="BD51" s="319"/>
      <c r="BE51" s="319"/>
      <c r="BF51" s="319"/>
      <c r="BG51" s="319"/>
      <c r="BH51" s="319"/>
      <c r="BI51" s="319"/>
      <c r="BJ51" s="319"/>
      <c r="BK51" s="319"/>
      <c r="BL51" s="319"/>
      <c r="BM51" s="319"/>
      <c r="BN51" s="319"/>
      <c r="BO51" s="319"/>
      <c r="BP51" s="319"/>
      <c r="BQ51" s="329"/>
      <c r="BR51" s="329"/>
      <c r="BS51" s="329"/>
    </row>
    <row r="52" spans="1:71">
      <c r="E52" s="1017"/>
      <c r="F52" s="331">
        <f>F46</f>
        <v>0</v>
      </c>
      <c r="K52" s="360"/>
      <c r="L52" s="317"/>
      <c r="M52" s="316"/>
      <c r="O52" s="312"/>
      <c r="P52" s="320"/>
      <c r="Q52" s="346"/>
      <c r="R52" s="319"/>
      <c r="AG52" s="316"/>
      <c r="AH52" s="324"/>
      <c r="AI52" s="324"/>
      <c r="AJ52" s="316"/>
      <c r="AK52" s="316"/>
      <c r="AL52" s="316"/>
      <c r="AM52" s="359"/>
      <c r="AN52" s="316"/>
      <c r="AO52" s="316"/>
      <c r="AP52" s="316"/>
      <c r="AQ52" s="342"/>
      <c r="AR52" s="315"/>
      <c r="AS52" s="315"/>
      <c r="AT52" s="315"/>
      <c r="AU52" s="320"/>
      <c r="AV52" s="316"/>
      <c r="AW52" s="316"/>
      <c r="AX52" s="316"/>
      <c r="AY52" s="316"/>
      <c r="AZ52" s="316"/>
      <c r="BA52" s="316"/>
      <c r="BB52" s="316"/>
      <c r="BC52" s="316"/>
      <c r="BD52" s="319"/>
      <c r="BE52" s="319"/>
      <c r="BF52" s="319"/>
      <c r="BG52" s="319"/>
      <c r="BH52" s="319"/>
      <c r="BI52" s="319"/>
      <c r="BJ52" s="319"/>
      <c r="BK52" s="319"/>
      <c r="BL52" s="319"/>
      <c r="BM52" s="319"/>
      <c r="BN52" s="319"/>
      <c r="BO52" s="319"/>
      <c r="BP52" s="319"/>
      <c r="BQ52" s="329"/>
      <c r="BR52" s="329"/>
      <c r="BS52" s="329"/>
    </row>
    <row r="53" spans="1:71">
      <c r="E53" s="1017"/>
      <c r="F53" s="331">
        <f>F48</f>
        <v>0</v>
      </c>
      <c r="K53" s="361"/>
      <c r="O53" s="312"/>
      <c r="P53" s="320"/>
      <c r="Q53" s="346"/>
      <c r="R53" s="319"/>
      <c r="AG53" s="316"/>
      <c r="AH53" s="324"/>
      <c r="AI53" s="324"/>
      <c r="AJ53" s="316"/>
      <c r="AK53" s="316"/>
      <c r="AL53" s="316"/>
      <c r="AM53" s="359"/>
      <c r="AN53" s="316"/>
      <c r="AO53" s="316"/>
      <c r="AP53" s="316"/>
      <c r="AQ53" s="319"/>
      <c r="AR53" s="315"/>
      <c r="AS53" s="315"/>
      <c r="AT53" s="319"/>
      <c r="AU53" s="316"/>
      <c r="AV53" s="316"/>
      <c r="AW53" s="316"/>
      <c r="AX53" s="316"/>
      <c r="AY53" s="316"/>
      <c r="AZ53" s="316"/>
      <c r="BA53" s="316"/>
      <c r="BB53" s="316"/>
      <c r="BC53" s="316"/>
      <c r="BD53" s="319"/>
      <c r="BE53" s="319"/>
      <c r="BF53" s="319"/>
      <c r="BG53" s="319"/>
      <c r="BH53" s="319"/>
      <c r="BI53" s="319"/>
      <c r="BJ53" s="319"/>
      <c r="BK53" s="319"/>
      <c r="BL53" s="319"/>
      <c r="BM53" s="319"/>
      <c r="BN53" s="319"/>
      <c r="BO53" s="319"/>
      <c r="BP53" s="319"/>
      <c r="BQ53" s="329"/>
      <c r="BR53" s="329"/>
      <c r="BS53" s="329"/>
    </row>
    <row r="54" spans="1:71">
      <c r="E54" s="1017"/>
      <c r="F54" s="331">
        <f>F50*COS(F44)-F49*SIN(F44)+F42</f>
        <v>0</v>
      </c>
      <c r="L54" s="320"/>
      <c r="M54" s="356"/>
      <c r="N54" s="356"/>
      <c r="O54" s="312"/>
      <c r="P54" s="320"/>
      <c r="Q54" s="346"/>
      <c r="R54" s="319"/>
      <c r="AG54" s="316"/>
      <c r="AH54" s="324"/>
      <c r="AI54" s="324"/>
      <c r="AJ54" s="316"/>
      <c r="AK54" s="316"/>
      <c r="AL54" s="316"/>
      <c r="AM54" s="359"/>
      <c r="AN54" s="316"/>
      <c r="AO54" s="316"/>
      <c r="AP54" s="316"/>
      <c r="AQ54" s="317"/>
      <c r="AR54" s="315"/>
      <c r="AS54" s="315"/>
      <c r="AT54" s="319"/>
      <c r="AU54" s="316"/>
      <c r="AV54" s="316"/>
      <c r="AW54" s="316"/>
      <c r="AX54" s="316"/>
      <c r="AY54" s="316"/>
      <c r="AZ54" s="316"/>
      <c r="BA54" s="316"/>
      <c r="BB54" s="316"/>
      <c r="BC54" s="316"/>
      <c r="BD54" s="319"/>
      <c r="BE54" s="319"/>
      <c r="BF54" s="319"/>
      <c r="BG54" s="319"/>
      <c r="BH54" s="319"/>
      <c r="BI54" s="319"/>
      <c r="BJ54" s="319"/>
      <c r="BK54" s="319"/>
      <c r="BL54" s="319"/>
      <c r="BM54" s="319"/>
      <c r="BN54" s="319"/>
      <c r="BO54" s="319"/>
      <c r="BP54" s="319"/>
      <c r="BQ54" s="329"/>
      <c r="BR54" s="329"/>
      <c r="BS54" s="329"/>
    </row>
    <row r="55" spans="1:71">
      <c r="E55" s="1018"/>
      <c r="F55" s="331">
        <f>F50*SIN(F44)+F51*COS(F44)+F43</f>
        <v>0</v>
      </c>
      <c r="K55" s="316"/>
      <c r="L55" s="320"/>
      <c r="M55" s="346"/>
      <c r="N55" s="320"/>
      <c r="O55" s="312"/>
      <c r="P55" s="320"/>
      <c r="Q55" s="346"/>
      <c r="R55" s="319"/>
      <c r="AG55" s="316"/>
      <c r="AH55" s="324"/>
      <c r="AI55" s="324"/>
      <c r="AJ55" s="316"/>
      <c r="AK55" s="316"/>
      <c r="AL55" s="316"/>
      <c r="AM55" s="359"/>
      <c r="AN55" s="316"/>
      <c r="AO55" s="316"/>
      <c r="AP55" s="316"/>
      <c r="AQ55" s="319"/>
      <c r="AR55" s="323"/>
      <c r="AS55" s="323"/>
      <c r="AT55" s="319"/>
      <c r="AU55" s="316"/>
      <c r="AV55" s="316"/>
      <c r="AW55" s="316"/>
      <c r="AX55" s="316"/>
      <c r="AY55" s="316"/>
      <c r="AZ55" s="316"/>
      <c r="BA55" s="316"/>
      <c r="BB55" s="316"/>
      <c r="BC55" s="316"/>
      <c r="BD55" s="319"/>
      <c r="BE55" s="319"/>
      <c r="BF55" s="319"/>
      <c r="BG55" s="319"/>
      <c r="BH55" s="319"/>
      <c r="BI55" s="319"/>
      <c r="BJ55" s="319"/>
      <c r="BK55" s="319"/>
      <c r="BL55" s="319"/>
      <c r="BM55" s="319"/>
      <c r="BN55" s="319"/>
      <c r="BO55" s="319"/>
      <c r="BP55" s="319"/>
      <c r="BQ55" s="329"/>
      <c r="BR55" s="329"/>
      <c r="BS55" s="329"/>
    </row>
    <row r="56" spans="1:71">
      <c r="E56" s="1010" t="s">
        <v>1816</v>
      </c>
      <c r="F56" s="331">
        <f>((F52-F54)^2+(F53-F55)^2)^0.5</f>
        <v>0</v>
      </c>
      <c r="K56" s="316"/>
      <c r="L56" s="320"/>
      <c r="M56" s="346"/>
      <c r="N56" s="346"/>
      <c r="O56" s="312"/>
      <c r="P56" s="320"/>
      <c r="Q56" s="354"/>
      <c r="R56" s="319"/>
      <c r="AG56" s="316"/>
      <c r="AH56" s="324"/>
      <c r="AI56" s="324"/>
      <c r="AJ56" s="316"/>
      <c r="AK56" s="316"/>
      <c r="AL56" s="316"/>
      <c r="AM56" s="359"/>
      <c r="AN56" s="316"/>
      <c r="AO56" s="316"/>
      <c r="AP56" s="316"/>
      <c r="AQ56" s="319"/>
      <c r="AR56" s="323"/>
      <c r="AS56" s="323"/>
      <c r="AT56" s="319"/>
      <c r="AU56" s="316"/>
      <c r="AV56" s="316"/>
      <c r="AW56" s="316"/>
      <c r="AX56" s="316"/>
      <c r="AY56" s="316"/>
      <c r="AZ56" s="316"/>
      <c r="BA56" s="316"/>
      <c r="BB56" s="316"/>
      <c r="BC56" s="316"/>
      <c r="BD56" s="319"/>
      <c r="BE56" s="319"/>
      <c r="BF56" s="319"/>
      <c r="BG56" s="319"/>
      <c r="BH56" s="319"/>
      <c r="BI56" s="319"/>
      <c r="BJ56" s="319"/>
      <c r="BK56" s="319"/>
      <c r="BL56" s="319"/>
      <c r="BM56" s="319"/>
      <c r="BN56" s="319"/>
      <c r="BO56" s="319"/>
      <c r="BP56" s="319"/>
      <c r="BQ56" s="329"/>
      <c r="BR56" s="329"/>
      <c r="BS56" s="329"/>
    </row>
    <row r="57" spans="1:71">
      <c r="E57" s="1008"/>
      <c r="F57" s="331">
        <f>F52-F54</f>
        <v>0</v>
      </c>
      <c r="K57" s="316"/>
      <c r="L57" s="320"/>
      <c r="M57" s="346"/>
      <c r="N57" s="320"/>
      <c r="O57" s="312"/>
      <c r="P57" s="320"/>
      <c r="Q57" s="320"/>
      <c r="R57" s="319"/>
      <c r="AG57" s="316"/>
      <c r="AH57" s="324"/>
      <c r="AI57" s="324"/>
      <c r="AJ57" s="316"/>
      <c r="AK57" s="316"/>
      <c r="AL57" s="316"/>
      <c r="AM57" s="316"/>
      <c r="AN57" s="316"/>
      <c r="AO57" s="316"/>
      <c r="AP57" s="316"/>
      <c r="AQ57" s="342"/>
      <c r="AR57" s="315"/>
      <c r="AS57" s="315"/>
      <c r="AT57" s="317"/>
      <c r="AU57" s="316"/>
      <c r="AV57" s="316"/>
      <c r="AW57" s="316"/>
      <c r="AX57" s="316"/>
      <c r="AY57" s="316"/>
      <c r="AZ57" s="316"/>
      <c r="BA57" s="316"/>
      <c r="BB57" s="316"/>
      <c r="BC57" s="316"/>
      <c r="BD57" s="319"/>
      <c r="BE57" s="319"/>
      <c r="BF57" s="319"/>
      <c r="BG57" s="319"/>
      <c r="BH57" s="319"/>
      <c r="BI57" s="319"/>
      <c r="BJ57" s="319"/>
      <c r="BK57" s="319"/>
      <c r="BL57" s="319"/>
      <c r="BM57" s="319"/>
      <c r="BN57" s="319"/>
      <c r="BO57" s="319"/>
      <c r="BP57" s="319"/>
      <c r="BQ57" s="329"/>
      <c r="BR57" s="329"/>
      <c r="BS57" s="329"/>
    </row>
    <row r="58" spans="1:71">
      <c r="A58" s="322"/>
      <c r="B58" s="362" t="s">
        <v>3909</v>
      </c>
      <c r="C58" s="363" t="s">
        <v>3910</v>
      </c>
      <c r="D58" s="317"/>
      <c r="E58" s="1008"/>
      <c r="F58" s="331" t="e">
        <f>ACOS(F57/F56)</f>
        <v>#DIV/0!</v>
      </c>
      <c r="H58" s="320"/>
      <c r="I58" s="346"/>
      <c r="J58" s="315"/>
      <c r="K58" s="329"/>
      <c r="L58" s="312"/>
      <c r="O58" s="312"/>
      <c r="P58" s="312"/>
      <c r="Q58" s="312"/>
      <c r="R58" s="312"/>
      <c r="S58" s="312"/>
      <c r="Y58" s="316"/>
      <c r="Z58" s="324"/>
      <c r="AA58" s="324"/>
      <c r="AB58" s="316"/>
      <c r="AC58" s="316"/>
      <c r="AD58" s="316"/>
      <c r="AE58" s="316"/>
      <c r="AF58" s="316"/>
      <c r="AG58" s="316"/>
      <c r="AH58" s="316"/>
      <c r="AI58" s="342"/>
      <c r="AJ58" s="315"/>
      <c r="AK58" s="315"/>
      <c r="AL58" s="315"/>
      <c r="AM58" s="320"/>
      <c r="AN58" s="316"/>
      <c r="AO58" s="316"/>
      <c r="AP58" s="316"/>
      <c r="AQ58" s="316"/>
      <c r="AR58" s="316"/>
      <c r="AS58" s="316"/>
      <c r="AT58" s="316"/>
      <c r="AU58" s="316"/>
      <c r="AV58" s="319"/>
      <c r="AW58" s="319"/>
      <c r="AX58" s="319"/>
      <c r="AY58" s="319"/>
      <c r="AZ58" s="319"/>
      <c r="BA58" s="319"/>
      <c r="BB58" s="319"/>
      <c r="BC58" s="319"/>
      <c r="BD58" s="319"/>
      <c r="BE58" s="319"/>
      <c r="BF58" s="319"/>
      <c r="BG58" s="319"/>
      <c r="BH58" s="319"/>
      <c r="BI58" s="329"/>
      <c r="BJ58" s="329"/>
      <c r="BK58" s="329"/>
    </row>
    <row r="59" spans="1:71">
      <c r="A59" s="339" t="s">
        <v>1817</v>
      </c>
      <c r="B59" s="364">
        <f>F163</f>
        <v>0</v>
      </c>
      <c r="C59" s="364">
        <f>F165</f>
        <v>-0.2</v>
      </c>
      <c r="D59" s="318"/>
      <c r="E59" s="1007" t="s">
        <v>1110</v>
      </c>
      <c r="F59" s="331" t="e">
        <f>LH_-LP_/TAN(F45)*COS(F45)-F18</f>
        <v>#DIV/0!</v>
      </c>
      <c r="H59" s="320"/>
      <c r="I59" s="346"/>
      <c r="J59" s="315"/>
      <c r="K59" s="329"/>
      <c r="L59" s="312"/>
      <c r="O59" s="312"/>
      <c r="P59" s="312"/>
      <c r="Q59" s="312"/>
      <c r="R59" s="312"/>
      <c r="S59" s="312"/>
      <c r="Y59" s="316"/>
      <c r="Z59" s="324"/>
      <c r="AA59" s="324"/>
      <c r="AB59" s="316"/>
      <c r="AC59" s="316"/>
      <c r="AD59" s="316"/>
      <c r="AE59" s="316"/>
      <c r="AF59" s="316"/>
      <c r="AG59" s="316"/>
      <c r="AH59" s="316"/>
      <c r="AI59" s="319"/>
      <c r="AJ59" s="315"/>
      <c r="AK59" s="315"/>
      <c r="AL59" s="319"/>
      <c r="AM59" s="320"/>
      <c r="AN59" s="316"/>
      <c r="AO59" s="316"/>
      <c r="AP59" s="316"/>
      <c r="AQ59" s="316"/>
      <c r="AR59" s="316"/>
      <c r="AS59" s="316"/>
      <c r="AT59" s="316"/>
      <c r="AU59" s="316"/>
      <c r="AV59" s="319"/>
      <c r="AW59" s="319"/>
      <c r="AX59" s="319"/>
      <c r="AY59" s="319"/>
      <c r="AZ59" s="319"/>
      <c r="BA59" s="319"/>
      <c r="BB59" s="319"/>
      <c r="BC59" s="319"/>
      <c r="BD59" s="319"/>
      <c r="BE59" s="319"/>
      <c r="BF59" s="319"/>
      <c r="BG59" s="319"/>
      <c r="BH59" s="319"/>
      <c r="BI59" s="329"/>
      <c r="BJ59" s="329"/>
      <c r="BK59" s="329"/>
    </row>
    <row r="60" spans="1:71">
      <c r="A60" s="339"/>
      <c r="B60" s="364">
        <f>F164</f>
        <v>0</v>
      </c>
      <c r="C60" s="364">
        <f>F166</f>
        <v>-4.9999999999999989E-2</v>
      </c>
      <c r="D60" s="318"/>
      <c r="E60" s="1008"/>
      <c r="F60" s="331" t="e">
        <f>LH_-LP_/SIN(F45)-F18</f>
        <v>#DIV/0!</v>
      </c>
      <c r="G60" s="322"/>
      <c r="H60" s="324"/>
      <c r="I60" s="324"/>
      <c r="J60" s="319"/>
      <c r="K60" s="329"/>
      <c r="L60" s="312"/>
      <c r="O60" s="312"/>
      <c r="P60" s="312"/>
      <c r="Q60" s="312"/>
      <c r="R60" s="312"/>
      <c r="S60" s="312"/>
      <c r="Y60" s="316"/>
      <c r="Z60" s="324"/>
      <c r="AA60" s="324"/>
      <c r="AB60" s="316"/>
      <c r="AC60" s="316"/>
      <c r="AD60" s="316"/>
      <c r="AE60" s="316"/>
      <c r="AF60" s="316"/>
      <c r="AG60" s="316"/>
      <c r="AH60" s="316"/>
      <c r="AI60" s="317"/>
      <c r="AJ60" s="315"/>
      <c r="AK60" s="315"/>
      <c r="AL60" s="319"/>
      <c r="AM60" s="320"/>
      <c r="AN60" s="316"/>
      <c r="AO60" s="316"/>
      <c r="AP60" s="316"/>
      <c r="AQ60" s="316"/>
      <c r="AR60" s="316"/>
      <c r="AS60" s="316"/>
      <c r="AT60" s="316"/>
      <c r="AU60" s="316"/>
      <c r="AV60" s="319"/>
      <c r="AW60" s="319"/>
      <c r="AX60" s="319"/>
      <c r="AY60" s="319"/>
      <c r="AZ60" s="319"/>
      <c r="BA60" s="319"/>
      <c r="BB60" s="319"/>
      <c r="BC60" s="319"/>
      <c r="BD60" s="319"/>
      <c r="BE60" s="319"/>
      <c r="BF60" s="319"/>
      <c r="BG60" s="319"/>
      <c r="BH60" s="319"/>
      <c r="BI60" s="329"/>
      <c r="BJ60" s="329"/>
      <c r="BK60" s="329"/>
    </row>
    <row r="61" spans="1:71">
      <c r="A61" s="339" t="s">
        <v>1818</v>
      </c>
      <c r="B61" s="364">
        <f>F167</f>
        <v>0</v>
      </c>
      <c r="C61" s="364">
        <f>F171</f>
        <v>-0.2</v>
      </c>
      <c r="D61" s="318"/>
      <c r="E61" s="1008"/>
      <c r="F61" s="331" t="e">
        <f>F48+LP_/TAN(F45)*SIN(F45)</f>
        <v>#DIV/0!</v>
      </c>
      <c r="G61" s="322"/>
      <c r="H61" s="324"/>
      <c r="I61" s="324"/>
      <c r="J61" s="319"/>
      <c r="K61" s="329"/>
      <c r="L61" s="312"/>
      <c r="O61" s="312"/>
      <c r="P61" s="312"/>
      <c r="Q61" s="312"/>
      <c r="R61" s="312"/>
      <c r="S61" s="312"/>
      <c r="Y61" s="316"/>
      <c r="Z61" s="324"/>
      <c r="AA61" s="324"/>
      <c r="AB61" s="316"/>
      <c r="AC61" s="316"/>
      <c r="AD61" s="316"/>
      <c r="AE61" s="316"/>
      <c r="AF61" s="316"/>
      <c r="AG61" s="316"/>
      <c r="AH61" s="316"/>
      <c r="AI61" s="319"/>
      <c r="AJ61" s="323"/>
      <c r="AK61" s="323"/>
      <c r="AL61" s="319"/>
      <c r="AM61" s="320"/>
      <c r="AN61" s="316"/>
      <c r="AO61" s="316"/>
      <c r="AP61" s="316"/>
      <c r="AQ61" s="316"/>
      <c r="AR61" s="316"/>
      <c r="AS61" s="316"/>
      <c r="AT61" s="316"/>
      <c r="AU61" s="316"/>
      <c r="AV61" s="319"/>
      <c r="AW61" s="319"/>
      <c r="AX61" s="319"/>
      <c r="AY61" s="319"/>
      <c r="AZ61" s="319"/>
      <c r="BA61" s="319"/>
      <c r="BB61" s="319"/>
      <c r="BC61" s="319"/>
      <c r="BD61" s="319"/>
      <c r="BE61" s="319"/>
      <c r="BF61" s="319"/>
      <c r="BG61" s="319"/>
      <c r="BH61" s="319"/>
      <c r="BI61" s="329"/>
      <c r="BJ61" s="329"/>
      <c r="BK61" s="329"/>
    </row>
    <row r="62" spans="1:71">
      <c r="A62" s="339"/>
      <c r="B62" s="364">
        <f>F168</f>
        <v>0</v>
      </c>
      <c r="C62" s="364">
        <f>F172</f>
        <v>-0.2</v>
      </c>
      <c r="D62" s="318"/>
      <c r="E62" s="1008"/>
      <c r="F62" s="331" t="e">
        <f>F61-LP_*COS(F45)</f>
        <v>#DIV/0!</v>
      </c>
      <c r="G62" s="322"/>
      <c r="H62" s="365"/>
      <c r="I62" s="365"/>
      <c r="J62" s="329"/>
      <c r="K62" s="329"/>
      <c r="L62" s="312"/>
      <c r="O62" s="312"/>
      <c r="P62" s="312"/>
      <c r="Q62" s="312"/>
      <c r="R62" s="312"/>
      <c r="S62" s="312"/>
      <c r="Y62" s="316"/>
      <c r="Z62" s="324"/>
      <c r="AA62" s="324"/>
      <c r="AB62" s="316"/>
      <c r="AC62" s="316"/>
      <c r="AD62" s="316"/>
      <c r="AE62" s="316"/>
      <c r="AF62" s="316"/>
      <c r="AG62" s="316"/>
      <c r="AH62" s="316"/>
      <c r="AI62" s="319"/>
      <c r="AJ62" s="323"/>
      <c r="AK62" s="323"/>
      <c r="AL62" s="319"/>
      <c r="AM62" s="320"/>
      <c r="AN62" s="316"/>
      <c r="AO62" s="316"/>
      <c r="AP62" s="316"/>
      <c r="AQ62" s="316"/>
      <c r="AR62" s="316"/>
      <c r="AS62" s="316"/>
      <c r="AT62" s="316"/>
      <c r="AU62" s="316"/>
      <c r="AV62" s="319"/>
      <c r="AW62" s="319"/>
      <c r="AX62" s="319"/>
      <c r="AY62" s="319"/>
      <c r="AZ62" s="319"/>
      <c r="BA62" s="319"/>
      <c r="BB62" s="319"/>
      <c r="BC62" s="319"/>
      <c r="BD62" s="319"/>
      <c r="BE62" s="319"/>
      <c r="BF62" s="319"/>
      <c r="BG62" s="319"/>
      <c r="BH62" s="319"/>
      <c r="BI62" s="329"/>
      <c r="BJ62" s="329"/>
      <c r="BK62" s="329"/>
    </row>
    <row r="63" spans="1:71">
      <c r="A63" s="339"/>
      <c r="B63" s="364">
        <f>F169</f>
        <v>0</v>
      </c>
      <c r="C63" s="364">
        <f>F173</f>
        <v>-0.2</v>
      </c>
      <c r="D63" s="318"/>
      <c r="E63" s="1008"/>
      <c r="F63" s="331" t="e">
        <f>LH_-LP_/TAN(F45)*COS(F58)-F18</f>
        <v>#DIV/0!</v>
      </c>
      <c r="G63" s="322"/>
      <c r="H63" s="365"/>
      <c r="I63" s="365"/>
      <c r="J63" s="329"/>
      <c r="K63" s="329"/>
      <c r="L63" s="312"/>
      <c r="O63" s="312"/>
      <c r="P63" s="312"/>
      <c r="Q63" s="312"/>
      <c r="R63" s="312"/>
      <c r="S63" s="312"/>
      <c r="Y63" s="316"/>
      <c r="Z63" s="324"/>
      <c r="AA63" s="324"/>
      <c r="AB63" s="316"/>
      <c r="AC63" s="316"/>
      <c r="AD63" s="316"/>
      <c r="AE63" s="316"/>
      <c r="AF63" s="316"/>
      <c r="AG63" s="316"/>
      <c r="AH63" s="316"/>
      <c r="AI63" s="342"/>
      <c r="AJ63" s="315"/>
      <c r="AK63" s="315"/>
      <c r="AL63" s="317"/>
      <c r="AM63" s="320"/>
      <c r="AN63" s="316"/>
      <c r="AO63" s="316"/>
      <c r="AP63" s="316"/>
      <c r="AQ63" s="316"/>
      <c r="AR63" s="316"/>
      <c r="AS63" s="316"/>
      <c r="AT63" s="316"/>
      <c r="AU63" s="316"/>
      <c r="AV63" s="319"/>
      <c r="AW63" s="319"/>
      <c r="AX63" s="319"/>
      <c r="AY63" s="319"/>
      <c r="AZ63" s="319"/>
      <c r="BA63" s="319"/>
      <c r="BB63" s="319"/>
      <c r="BC63" s="319"/>
      <c r="BD63" s="319"/>
      <c r="BE63" s="319"/>
      <c r="BF63" s="319"/>
      <c r="BG63" s="319"/>
      <c r="BH63" s="319"/>
      <c r="BI63" s="329"/>
      <c r="BJ63" s="329"/>
      <c r="BK63" s="329"/>
    </row>
    <row r="64" spans="1:71">
      <c r="A64" s="339"/>
      <c r="B64" s="364">
        <f>F170</f>
        <v>0</v>
      </c>
      <c r="C64" s="364">
        <f>F174</f>
        <v>0</v>
      </c>
      <c r="D64" s="318"/>
      <c r="E64" s="1008"/>
      <c r="F64" s="331" t="e">
        <f>LH_-LP_/SIN(F58)-F18</f>
        <v>#DIV/0!</v>
      </c>
      <c r="G64" s="322"/>
      <c r="H64" s="365"/>
      <c r="I64" s="365"/>
      <c r="J64" s="329"/>
      <c r="K64" s="329"/>
      <c r="L64" s="312"/>
      <c r="O64" s="312"/>
      <c r="P64" s="312"/>
      <c r="Q64" s="312"/>
      <c r="R64" s="312"/>
      <c r="S64" s="312"/>
      <c r="Y64" s="316"/>
      <c r="Z64" s="324"/>
      <c r="AA64" s="324"/>
      <c r="AB64" s="316"/>
      <c r="AC64" s="316"/>
      <c r="AD64" s="316"/>
      <c r="AE64" s="316"/>
      <c r="AF64" s="316"/>
      <c r="AG64" s="316"/>
      <c r="AH64" s="316"/>
      <c r="AI64" s="342"/>
      <c r="AJ64" s="315"/>
      <c r="AK64" s="315"/>
      <c r="AL64" s="315"/>
      <c r="AM64" s="320"/>
      <c r="AN64" s="316"/>
      <c r="AO64" s="316"/>
      <c r="AP64" s="316"/>
      <c r="AQ64" s="316"/>
      <c r="AR64" s="316"/>
      <c r="AS64" s="316"/>
      <c r="AT64" s="316"/>
      <c r="AU64" s="316"/>
      <c r="AV64" s="319"/>
      <c r="AW64" s="319"/>
      <c r="AX64" s="319"/>
      <c r="AY64" s="319"/>
      <c r="AZ64" s="319"/>
      <c r="BA64" s="319"/>
      <c r="BB64" s="319"/>
      <c r="BC64" s="319"/>
      <c r="BD64" s="319"/>
      <c r="BE64" s="319"/>
      <c r="BF64" s="319"/>
      <c r="BG64" s="319"/>
      <c r="BH64" s="319"/>
      <c r="BI64" s="329"/>
      <c r="BJ64" s="329"/>
      <c r="BK64" s="329"/>
    </row>
    <row r="65" spans="1:63">
      <c r="A65" s="339" t="s">
        <v>1819</v>
      </c>
      <c r="B65" s="364">
        <f>F107</f>
        <v>0</v>
      </c>
      <c r="C65" s="364">
        <f>F108</f>
        <v>0</v>
      </c>
      <c r="D65" s="318"/>
      <c r="E65" s="1008"/>
      <c r="F65" s="331" t="e">
        <f>F48+LP_/TAN(F45)*SIN(F58)</f>
        <v>#DIV/0!</v>
      </c>
      <c r="G65" s="322"/>
      <c r="H65" s="365"/>
      <c r="I65" s="365"/>
      <c r="J65" s="329"/>
      <c r="K65" s="329"/>
      <c r="L65" s="312"/>
      <c r="O65" s="312"/>
      <c r="P65" s="312"/>
      <c r="Q65" s="312"/>
      <c r="R65" s="312"/>
      <c r="S65" s="312"/>
      <c r="Y65" s="316"/>
      <c r="Z65" s="324"/>
      <c r="AA65" s="324"/>
      <c r="AB65" s="316"/>
      <c r="AC65" s="316"/>
      <c r="AD65" s="316"/>
      <c r="AE65" s="316"/>
      <c r="AF65" s="316"/>
      <c r="AG65" s="316"/>
      <c r="AH65" s="316"/>
      <c r="AI65" s="316"/>
      <c r="AJ65" s="316"/>
      <c r="AK65" s="316"/>
      <c r="AL65" s="316"/>
      <c r="AM65" s="320"/>
      <c r="AN65" s="316"/>
      <c r="AO65" s="316"/>
      <c r="AP65" s="316"/>
      <c r="AQ65" s="316"/>
      <c r="AR65" s="316"/>
      <c r="AS65" s="316"/>
      <c r="AT65" s="316"/>
      <c r="AU65" s="316"/>
      <c r="AV65" s="319"/>
      <c r="AW65" s="319"/>
      <c r="AX65" s="319"/>
      <c r="AY65" s="319"/>
      <c r="AZ65" s="319"/>
      <c r="BA65" s="319"/>
      <c r="BB65" s="319"/>
      <c r="BC65" s="319"/>
      <c r="BD65" s="319"/>
      <c r="BE65" s="319"/>
      <c r="BF65" s="319"/>
      <c r="BG65" s="319"/>
      <c r="BH65" s="319"/>
      <c r="BI65" s="329"/>
      <c r="BJ65" s="329"/>
      <c r="BK65" s="329"/>
    </row>
    <row r="66" spans="1:63">
      <c r="A66" s="339"/>
      <c r="B66" s="364">
        <f>F109</f>
        <v>-3.6647727631022406E-2</v>
      </c>
      <c r="C66" s="364">
        <f>F110</f>
        <v>1.3995202549657801</v>
      </c>
      <c r="D66" s="318"/>
      <c r="E66" s="1008"/>
      <c r="F66" s="331" t="e">
        <f>F61-LP_*COS(F58)</f>
        <v>#DIV/0!</v>
      </c>
      <c r="G66" s="322"/>
      <c r="H66" s="365"/>
      <c r="I66" s="365"/>
      <c r="J66" s="329"/>
      <c r="K66" s="329"/>
      <c r="L66" s="312"/>
      <c r="O66" s="312"/>
      <c r="P66" s="312"/>
      <c r="Q66" s="312"/>
      <c r="R66" s="312"/>
      <c r="S66" s="312"/>
      <c r="Y66" s="316"/>
      <c r="Z66" s="324"/>
      <c r="AA66" s="324"/>
      <c r="AB66" s="316"/>
      <c r="AC66" s="316"/>
      <c r="AD66" s="316"/>
      <c r="AE66" s="316"/>
      <c r="AF66" s="316"/>
      <c r="AG66" s="316"/>
      <c r="AH66" s="316"/>
      <c r="AI66" s="317"/>
      <c r="AJ66" s="315"/>
      <c r="AK66" s="315"/>
      <c r="AL66" s="319"/>
      <c r="AM66" s="320"/>
      <c r="AN66" s="316"/>
      <c r="AO66" s="316"/>
      <c r="AP66" s="316"/>
      <c r="AQ66" s="316"/>
      <c r="AR66" s="316"/>
      <c r="AS66" s="316"/>
      <c r="AT66" s="316"/>
      <c r="AU66" s="316"/>
      <c r="AV66" s="319"/>
      <c r="AW66" s="319"/>
      <c r="AX66" s="319"/>
      <c r="AY66" s="319"/>
      <c r="AZ66" s="319"/>
      <c r="BA66" s="319"/>
      <c r="BB66" s="319"/>
      <c r="BC66" s="319"/>
      <c r="BD66" s="319"/>
      <c r="BE66" s="319"/>
      <c r="BF66" s="319"/>
      <c r="BG66" s="319"/>
      <c r="BH66" s="319"/>
      <c r="BI66" s="329"/>
      <c r="BJ66" s="329"/>
      <c r="BK66" s="329"/>
    </row>
    <row r="67" spans="1:63">
      <c r="A67" s="339" t="s">
        <v>1820</v>
      </c>
      <c r="B67" s="364">
        <f>F115</f>
        <v>-9.9965732497555734E-2</v>
      </c>
      <c r="C67" s="364">
        <f>F116</f>
        <v>-2.6176948307873151E-3</v>
      </c>
      <c r="D67" s="318"/>
      <c r="E67" s="1007" t="s">
        <v>1126</v>
      </c>
      <c r="F67" s="372"/>
      <c r="G67" s="322"/>
      <c r="H67" s="365"/>
      <c r="I67" s="365"/>
      <c r="J67" s="329"/>
      <c r="K67" s="329"/>
      <c r="L67" s="312"/>
      <c r="O67" s="312"/>
      <c r="P67" s="312"/>
      <c r="Q67" s="312"/>
      <c r="R67" s="312"/>
      <c r="S67" s="312"/>
      <c r="Y67" s="316"/>
      <c r="Z67" s="324"/>
      <c r="AA67" s="324"/>
      <c r="AB67" s="316"/>
      <c r="AC67" s="316"/>
      <c r="AD67" s="316"/>
      <c r="AE67" s="316"/>
      <c r="AF67" s="316"/>
      <c r="AG67" s="316"/>
      <c r="AH67" s="316"/>
      <c r="AI67" s="319"/>
      <c r="AJ67" s="323"/>
      <c r="AK67" s="323"/>
      <c r="AL67" s="319"/>
      <c r="AM67" s="320"/>
      <c r="AN67" s="316"/>
      <c r="AO67" s="316"/>
      <c r="AP67" s="316"/>
      <c r="AQ67" s="316"/>
      <c r="AR67" s="316"/>
      <c r="AS67" s="316"/>
      <c r="AT67" s="316"/>
      <c r="AU67" s="316"/>
      <c r="AV67" s="319"/>
      <c r="AW67" s="319"/>
      <c r="AX67" s="319"/>
      <c r="AY67" s="319"/>
      <c r="AZ67" s="319"/>
      <c r="BA67" s="319"/>
      <c r="BB67" s="319"/>
      <c r="BC67" s="319"/>
      <c r="BD67" s="319"/>
      <c r="BE67" s="319"/>
      <c r="BF67" s="319"/>
      <c r="BG67" s="319"/>
      <c r="BH67" s="319"/>
      <c r="BI67" s="329"/>
      <c r="BJ67" s="329"/>
      <c r="BK67" s="329"/>
    </row>
    <row r="68" spans="1:63">
      <c r="A68" s="339"/>
      <c r="B68" s="364">
        <f>F117</f>
        <v>-0.13661346012857814</v>
      </c>
      <c r="C68" s="364">
        <f>F118</f>
        <v>1.3969025601349929</v>
      </c>
      <c r="D68" s="318"/>
      <c r="E68" s="1008"/>
      <c r="F68" s="372"/>
      <c r="G68" s="322"/>
      <c r="H68" s="365"/>
      <c r="I68" s="365"/>
      <c r="J68" s="329"/>
      <c r="K68" s="329"/>
      <c r="L68" s="312"/>
      <c r="O68" s="312"/>
      <c r="P68" s="312"/>
      <c r="Q68" s="312"/>
      <c r="R68" s="312"/>
      <c r="S68" s="312"/>
      <c r="Y68" s="316"/>
      <c r="Z68" s="324"/>
      <c r="AA68" s="324"/>
      <c r="AB68" s="316"/>
      <c r="AC68" s="316"/>
      <c r="AD68" s="316"/>
      <c r="AE68" s="316"/>
      <c r="AF68" s="316"/>
      <c r="AG68" s="316"/>
      <c r="AH68" s="316"/>
      <c r="AI68" s="319"/>
      <c r="AJ68" s="323"/>
      <c r="AK68" s="323"/>
      <c r="AL68" s="319"/>
      <c r="AM68" s="320"/>
      <c r="AN68" s="316"/>
      <c r="AO68" s="316"/>
      <c r="AP68" s="316"/>
      <c r="AQ68" s="316"/>
      <c r="AR68" s="316"/>
      <c r="AS68" s="316"/>
      <c r="AT68" s="316"/>
      <c r="AU68" s="316"/>
      <c r="AV68" s="319"/>
      <c r="AW68" s="319"/>
      <c r="AX68" s="319"/>
      <c r="AY68" s="319"/>
      <c r="AZ68" s="319"/>
      <c r="BA68" s="319"/>
      <c r="BB68" s="319"/>
      <c r="BC68" s="319"/>
      <c r="BD68" s="319"/>
      <c r="BE68" s="319"/>
      <c r="BF68" s="319"/>
      <c r="BG68" s="319"/>
      <c r="BH68" s="319"/>
      <c r="BI68" s="329"/>
      <c r="BJ68" s="329"/>
      <c r="BK68" s="329"/>
    </row>
    <row r="69" spans="1:63">
      <c r="A69" s="339" t="s">
        <v>1821</v>
      </c>
      <c r="B69" s="364">
        <f>F123</f>
        <v>-0.13661346012857814</v>
      </c>
      <c r="C69" s="364">
        <f>F124</f>
        <v>1.3969025601349929</v>
      </c>
      <c r="D69" s="318"/>
      <c r="E69" s="1008"/>
      <c r="F69" s="372"/>
      <c r="G69" s="322"/>
      <c r="H69" s="365"/>
      <c r="I69" s="365"/>
      <c r="J69" s="329"/>
      <c r="K69" s="329"/>
      <c r="L69" s="312"/>
      <c r="O69" s="312"/>
      <c r="P69" s="312"/>
      <c r="Q69" s="312"/>
      <c r="R69" s="312"/>
      <c r="S69" s="312"/>
      <c r="Y69" s="316"/>
      <c r="Z69" s="324"/>
      <c r="AA69" s="324"/>
      <c r="AB69" s="316"/>
      <c r="AC69" s="316"/>
      <c r="AD69" s="316"/>
      <c r="AE69" s="316"/>
      <c r="AF69" s="316"/>
      <c r="AG69" s="316"/>
      <c r="AH69" s="316"/>
      <c r="AI69" s="342"/>
      <c r="AJ69" s="315"/>
      <c r="AK69" s="315"/>
      <c r="AL69" s="317"/>
      <c r="AM69" s="320"/>
      <c r="AN69" s="316"/>
      <c r="AO69" s="316"/>
      <c r="AP69" s="316"/>
      <c r="AQ69" s="316"/>
      <c r="AR69" s="316"/>
      <c r="AS69" s="316"/>
      <c r="AT69" s="316"/>
      <c r="AU69" s="316"/>
      <c r="AV69" s="319"/>
      <c r="AW69" s="319"/>
      <c r="AX69" s="319"/>
      <c r="AY69" s="319"/>
      <c r="AZ69" s="319"/>
      <c r="BA69" s="319"/>
      <c r="BB69" s="319"/>
      <c r="BC69" s="319"/>
      <c r="BD69" s="319"/>
      <c r="BE69" s="319"/>
      <c r="BF69" s="319"/>
      <c r="BG69" s="319"/>
      <c r="BH69" s="319"/>
      <c r="BI69" s="329"/>
      <c r="BJ69" s="329"/>
      <c r="BK69" s="329"/>
    </row>
    <row r="70" spans="1:63">
      <c r="A70" s="339"/>
      <c r="B70" s="364">
        <f>F125</f>
        <v>-0.13661346012857814</v>
      </c>
      <c r="C70" s="364">
        <f>F126</f>
        <v>1.3969025601349929</v>
      </c>
      <c r="D70" s="318"/>
      <c r="E70" s="1008"/>
      <c r="F70" s="372"/>
      <c r="G70" s="322"/>
      <c r="H70" s="324"/>
      <c r="I70" s="324"/>
      <c r="J70" s="319"/>
      <c r="K70" s="319"/>
      <c r="L70" s="316"/>
      <c r="M70" s="316"/>
      <c r="N70" s="316"/>
      <c r="O70" s="316"/>
      <c r="P70" s="316"/>
      <c r="Q70" s="316"/>
      <c r="R70" s="316"/>
      <c r="S70" s="316"/>
      <c r="T70" s="316"/>
      <c r="U70" s="316"/>
      <c r="V70" s="316"/>
      <c r="W70" s="316"/>
      <c r="X70" s="316"/>
      <c r="Y70" s="316"/>
      <c r="Z70" s="324"/>
      <c r="AA70" s="324"/>
      <c r="AB70" s="342"/>
      <c r="AC70" s="315"/>
      <c r="AD70" s="315"/>
      <c r="AE70" s="315"/>
      <c r="AF70" s="320"/>
      <c r="AG70" s="316"/>
      <c r="AH70" s="316"/>
      <c r="AI70" s="342"/>
      <c r="AJ70" s="315"/>
      <c r="AK70" s="315"/>
      <c r="AL70" s="315"/>
      <c r="AM70" s="320"/>
      <c r="AN70" s="316"/>
      <c r="AO70" s="316"/>
      <c r="AP70" s="316"/>
      <c r="AQ70" s="316"/>
      <c r="AR70" s="316"/>
      <c r="AS70" s="316"/>
      <c r="AT70" s="316"/>
      <c r="AU70" s="316"/>
      <c r="AV70" s="319"/>
      <c r="AW70" s="319"/>
      <c r="AX70" s="319"/>
      <c r="AY70" s="319"/>
      <c r="AZ70" s="319"/>
      <c r="BA70" s="319"/>
      <c r="BB70" s="319"/>
      <c r="BC70" s="319"/>
      <c r="BD70" s="319"/>
      <c r="BE70" s="319"/>
      <c r="BF70" s="319"/>
      <c r="BG70" s="319"/>
      <c r="BH70" s="319"/>
      <c r="BI70" s="329"/>
      <c r="BJ70" s="329"/>
      <c r="BK70" s="329"/>
    </row>
    <row r="71" spans="1:63">
      <c r="A71" s="339" t="s">
        <v>1822</v>
      </c>
      <c r="B71" s="364">
        <f>F131</f>
        <v>-0.13399576529779084</v>
      </c>
      <c r="C71" s="364">
        <f>F132</f>
        <v>1.2969368276374371</v>
      </c>
      <c r="D71" s="318"/>
      <c r="E71" s="1008"/>
      <c r="F71" s="374" t="e">
        <f>$F$95+($F$63-$F$95)/2</f>
        <v>#DIV/0!</v>
      </c>
      <c r="G71" s="322"/>
      <c r="H71" s="324"/>
      <c r="I71" s="324"/>
      <c r="J71" s="319"/>
      <c r="K71" s="319"/>
      <c r="L71" s="316"/>
      <c r="M71" s="316"/>
      <c r="N71" s="316"/>
      <c r="O71" s="316"/>
      <c r="P71" s="316"/>
      <c r="Q71" s="316"/>
      <c r="R71" s="316"/>
      <c r="S71" s="316"/>
      <c r="T71" s="316"/>
      <c r="U71" s="316"/>
      <c r="V71" s="316"/>
      <c r="W71" s="316"/>
      <c r="X71" s="316"/>
      <c r="Y71" s="316"/>
      <c r="Z71" s="324"/>
      <c r="AA71" s="324"/>
      <c r="AB71" s="342"/>
      <c r="AC71" s="315"/>
      <c r="AD71" s="315"/>
      <c r="AE71" s="315"/>
      <c r="AF71" s="320"/>
      <c r="AG71" s="316"/>
      <c r="AH71" s="316"/>
      <c r="AI71" s="316"/>
      <c r="AJ71" s="316"/>
      <c r="AK71" s="316"/>
      <c r="AL71" s="316"/>
      <c r="AM71" s="316"/>
      <c r="AN71" s="316"/>
      <c r="AO71" s="316"/>
      <c r="AP71" s="316"/>
      <c r="AQ71" s="316"/>
      <c r="AR71" s="316"/>
      <c r="AS71" s="316"/>
      <c r="AT71" s="316"/>
      <c r="AU71" s="316"/>
      <c r="AV71" s="319"/>
      <c r="AW71" s="319"/>
      <c r="AX71" s="319"/>
      <c r="AY71" s="319"/>
      <c r="AZ71" s="319"/>
      <c r="BA71" s="319"/>
      <c r="BB71" s="319"/>
      <c r="BC71" s="319"/>
      <c r="BD71" s="319"/>
      <c r="BE71" s="319"/>
      <c r="BF71" s="319"/>
      <c r="BG71" s="319"/>
      <c r="BH71" s="319"/>
      <c r="BI71" s="329"/>
      <c r="BJ71" s="329"/>
      <c r="BK71" s="329"/>
    </row>
    <row r="72" spans="1:63">
      <c r="A72" s="339"/>
      <c r="B72" s="364">
        <f>F133</f>
        <v>-0.13399576529779084</v>
      </c>
      <c r="C72" s="364">
        <f>F134</f>
        <v>1.2969368276374371</v>
      </c>
      <c r="D72" s="318"/>
      <c r="E72" s="1008"/>
      <c r="F72" s="374" t="e">
        <f>F71-HHW_*SIN($F$58)</f>
        <v>#DIV/0!</v>
      </c>
      <c r="G72" s="322"/>
      <c r="H72" s="324"/>
      <c r="I72" s="324"/>
      <c r="J72" s="319"/>
      <c r="K72" s="319"/>
      <c r="L72" s="316"/>
      <c r="M72" s="316"/>
      <c r="N72" s="316"/>
      <c r="O72" s="316"/>
      <c r="P72" s="316"/>
      <c r="Q72" s="316"/>
      <c r="R72" s="316"/>
      <c r="S72" s="316"/>
      <c r="T72" s="316"/>
      <c r="U72" s="316"/>
      <c r="V72" s="316"/>
      <c r="W72" s="316"/>
      <c r="X72" s="316"/>
      <c r="Y72" s="316"/>
      <c r="Z72" s="324"/>
      <c r="AA72" s="324"/>
      <c r="AB72" s="342"/>
      <c r="AC72" s="315"/>
      <c r="AD72" s="315"/>
      <c r="AE72" s="315"/>
      <c r="AF72" s="320"/>
      <c r="AG72" s="316"/>
      <c r="AH72" s="316"/>
      <c r="AI72" s="316"/>
      <c r="AJ72" s="316"/>
      <c r="AK72" s="316"/>
      <c r="AL72" s="316"/>
      <c r="AM72" s="316"/>
      <c r="AN72" s="316"/>
      <c r="AO72" s="316"/>
      <c r="AP72" s="316"/>
      <c r="AQ72" s="316"/>
      <c r="AR72" s="316"/>
      <c r="AS72" s="316"/>
      <c r="AT72" s="316"/>
      <c r="AU72" s="316"/>
      <c r="AV72" s="319"/>
      <c r="AW72" s="319"/>
      <c r="AX72" s="319"/>
      <c r="AY72" s="319"/>
      <c r="AZ72" s="319"/>
      <c r="BA72" s="319"/>
      <c r="BB72" s="319"/>
      <c r="BC72" s="319"/>
      <c r="BD72" s="319"/>
      <c r="BE72" s="319"/>
      <c r="BF72" s="319"/>
      <c r="BG72" s="319"/>
      <c r="BH72" s="319"/>
      <c r="BI72" s="329"/>
      <c r="BJ72" s="329"/>
      <c r="BK72" s="329"/>
    </row>
    <row r="73" spans="1:63">
      <c r="A73" s="339" t="s">
        <v>397</v>
      </c>
      <c r="B73" s="364">
        <f>F52</f>
        <v>0</v>
      </c>
      <c r="C73" s="364">
        <f>F53</f>
        <v>0</v>
      </c>
      <c r="D73" s="318"/>
      <c r="E73" s="1008"/>
      <c r="F73" s="374" t="e">
        <f>F65+(F63-F71)*TAN($F$58)</f>
        <v>#DIV/0!</v>
      </c>
      <c r="G73" s="322"/>
      <c r="H73" s="324"/>
      <c r="I73" s="324"/>
      <c r="J73" s="319"/>
      <c r="K73" s="319"/>
      <c r="L73" s="316"/>
      <c r="M73" s="316"/>
      <c r="N73" s="316"/>
      <c r="O73" s="316"/>
      <c r="P73" s="316"/>
      <c r="Q73" s="316"/>
      <c r="R73" s="316"/>
      <c r="S73" s="316"/>
      <c r="T73" s="316"/>
      <c r="U73" s="316"/>
      <c r="V73" s="316"/>
      <c r="W73" s="316"/>
      <c r="X73" s="316"/>
      <c r="Y73" s="316"/>
      <c r="Z73" s="324"/>
      <c r="AA73" s="324"/>
      <c r="AB73" s="342"/>
      <c r="AC73" s="316"/>
      <c r="AD73" s="315"/>
      <c r="AE73" s="315"/>
      <c r="AF73" s="320"/>
      <c r="AG73" s="316"/>
      <c r="AH73" s="316"/>
      <c r="AI73" s="316"/>
      <c r="AJ73" s="316"/>
      <c r="AK73" s="316"/>
      <c r="AL73" s="316"/>
      <c r="AM73" s="316"/>
      <c r="AN73" s="316"/>
      <c r="AO73" s="316"/>
      <c r="AP73" s="316"/>
      <c r="AQ73" s="316"/>
      <c r="AR73" s="316"/>
      <c r="AS73" s="316"/>
      <c r="AT73" s="316"/>
      <c r="AU73" s="316"/>
      <c r="AV73" s="319"/>
      <c r="AW73" s="319"/>
      <c r="AX73" s="319"/>
      <c r="AY73" s="319"/>
      <c r="AZ73" s="319"/>
      <c r="BA73" s="319"/>
      <c r="BB73" s="319"/>
      <c r="BC73" s="319"/>
      <c r="BD73" s="319"/>
      <c r="BE73" s="319"/>
      <c r="BF73" s="319"/>
      <c r="BG73" s="319"/>
      <c r="BH73" s="319"/>
      <c r="BI73" s="329"/>
      <c r="BJ73" s="329"/>
      <c r="BK73" s="329"/>
    </row>
    <row r="74" spans="1:63">
      <c r="A74" s="339"/>
      <c r="B74" s="364">
        <f>F54</f>
        <v>0</v>
      </c>
      <c r="C74" s="364">
        <f>F55</f>
        <v>0</v>
      </c>
      <c r="D74" s="318"/>
      <c r="E74" s="1008"/>
      <c r="F74" s="331" t="e">
        <f>F73-HHW_*COS($F$58)</f>
        <v>#DIV/0!</v>
      </c>
      <c r="G74" s="322"/>
      <c r="H74" s="324"/>
      <c r="I74" s="324"/>
      <c r="J74" s="319"/>
      <c r="K74" s="319"/>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c r="AX74" s="319"/>
      <c r="AY74" s="319"/>
      <c r="AZ74" s="319"/>
      <c r="BA74" s="319"/>
      <c r="BB74" s="319"/>
      <c r="BC74" s="319"/>
      <c r="BD74" s="319"/>
      <c r="BE74" s="319"/>
      <c r="BF74" s="319"/>
      <c r="BG74" s="319"/>
      <c r="BH74" s="319"/>
      <c r="BI74" s="329"/>
      <c r="BJ74" s="329"/>
      <c r="BK74" s="329"/>
    </row>
    <row r="75" spans="1:63">
      <c r="A75" s="339" t="s">
        <v>1110</v>
      </c>
      <c r="B75" s="364" t="e">
        <f>F63</f>
        <v>#DIV/0!</v>
      </c>
      <c r="C75" s="364" t="e">
        <f>F65</f>
        <v>#DIV/0!</v>
      </c>
      <c r="D75" s="318"/>
      <c r="E75" s="1007" t="s">
        <v>195</v>
      </c>
      <c r="F75" s="372"/>
      <c r="G75" s="322"/>
      <c r="H75" s="324"/>
      <c r="I75" s="324"/>
      <c r="J75" s="319"/>
      <c r="K75" s="319"/>
      <c r="L75" s="316"/>
      <c r="M75" s="316"/>
      <c r="N75" s="316"/>
      <c r="O75" s="316"/>
      <c r="P75" s="316"/>
      <c r="Q75" s="316"/>
      <c r="R75" s="316"/>
      <c r="S75" s="316"/>
      <c r="T75" s="316"/>
      <c r="U75" s="316"/>
      <c r="V75" s="316"/>
      <c r="W75" s="316"/>
      <c r="X75" s="316"/>
      <c r="Y75" s="316"/>
      <c r="Z75" s="324"/>
      <c r="AA75" s="324"/>
      <c r="AB75" s="316"/>
      <c r="AC75" s="316"/>
      <c r="AD75" s="316"/>
      <c r="AE75" s="316"/>
      <c r="AF75" s="316"/>
      <c r="AG75" s="316"/>
      <c r="AH75" s="316"/>
      <c r="AI75" s="316"/>
      <c r="AJ75" s="316"/>
      <c r="AK75" s="316"/>
      <c r="AL75" s="316"/>
      <c r="AM75" s="316"/>
      <c r="AN75" s="316"/>
      <c r="AO75" s="316"/>
      <c r="AP75" s="316"/>
      <c r="AQ75" s="316"/>
      <c r="AR75" s="316"/>
      <c r="AS75" s="316"/>
      <c r="AT75" s="316"/>
      <c r="AU75" s="316"/>
      <c r="AV75" s="319"/>
      <c r="AW75" s="319"/>
      <c r="AX75" s="319"/>
      <c r="AY75" s="319"/>
      <c r="AZ75" s="319"/>
      <c r="BA75" s="319"/>
      <c r="BB75" s="319"/>
      <c r="BC75" s="319"/>
      <c r="BD75" s="319"/>
      <c r="BE75" s="319"/>
      <c r="BF75" s="319"/>
      <c r="BG75" s="319"/>
      <c r="BH75" s="319"/>
      <c r="BI75" s="329"/>
      <c r="BJ75" s="329"/>
      <c r="BK75" s="329"/>
    </row>
    <row r="76" spans="1:63">
      <c r="A76" s="339"/>
      <c r="B76" s="364" t="e">
        <f>F64</f>
        <v>#DIV/0!</v>
      </c>
      <c r="C76" s="364" t="e">
        <f>F66</f>
        <v>#DIV/0!</v>
      </c>
      <c r="D76" s="318"/>
      <c r="E76" s="1008"/>
      <c r="F76" s="372"/>
      <c r="G76" s="322"/>
      <c r="H76" s="324"/>
      <c r="I76" s="324"/>
      <c r="J76" s="319"/>
      <c r="K76" s="319"/>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9"/>
      <c r="AW76" s="319"/>
      <c r="AX76" s="319"/>
      <c r="AY76" s="319"/>
      <c r="AZ76" s="319"/>
      <c r="BA76" s="319"/>
      <c r="BB76" s="319"/>
      <c r="BC76" s="319"/>
      <c r="BD76" s="319"/>
      <c r="BE76" s="319"/>
      <c r="BF76" s="319"/>
      <c r="BG76" s="319"/>
      <c r="BH76" s="319"/>
      <c r="BI76" s="329"/>
      <c r="BJ76" s="329"/>
      <c r="BK76" s="329"/>
    </row>
    <row r="77" spans="1:63">
      <c r="A77" s="339" t="s">
        <v>1126</v>
      </c>
      <c r="B77" s="364" t="e">
        <f>F71</f>
        <v>#DIV/0!</v>
      </c>
      <c r="C77" s="364" t="e">
        <f>F73</f>
        <v>#DIV/0!</v>
      </c>
      <c r="D77" s="318"/>
      <c r="E77" s="1008"/>
      <c r="F77" s="372"/>
      <c r="G77" s="322"/>
      <c r="H77" s="324"/>
      <c r="I77" s="324"/>
      <c r="J77" s="319"/>
      <c r="K77" s="319"/>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9"/>
      <c r="AW77" s="319"/>
      <c r="AX77" s="319"/>
      <c r="AY77" s="319"/>
      <c r="AZ77" s="319"/>
      <c r="BA77" s="319"/>
      <c r="BB77" s="319"/>
      <c r="BC77" s="319"/>
      <c r="BD77" s="319"/>
      <c r="BE77" s="319"/>
      <c r="BF77" s="319"/>
      <c r="BG77" s="319"/>
      <c r="BH77" s="319"/>
      <c r="BI77" s="329"/>
      <c r="BJ77" s="329"/>
      <c r="BK77" s="329"/>
    </row>
    <row r="78" spans="1:63">
      <c r="A78" s="339"/>
      <c r="B78" s="364" t="e">
        <f>F72</f>
        <v>#DIV/0!</v>
      </c>
      <c r="C78" s="364" t="e">
        <f>F74</f>
        <v>#DIV/0!</v>
      </c>
      <c r="D78" s="318"/>
      <c r="E78" s="1008"/>
      <c r="F78" s="372"/>
      <c r="G78" s="322"/>
      <c r="H78" s="324"/>
      <c r="I78" s="324"/>
      <c r="J78" s="319"/>
      <c r="K78" s="319"/>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9"/>
      <c r="AW78" s="319"/>
      <c r="AX78" s="319"/>
      <c r="AY78" s="319"/>
      <c r="AZ78" s="319"/>
      <c r="BA78" s="319"/>
      <c r="BB78" s="319"/>
      <c r="BC78" s="319"/>
      <c r="BD78" s="319"/>
      <c r="BE78" s="319"/>
      <c r="BF78" s="319"/>
      <c r="BG78" s="319"/>
      <c r="BH78" s="319"/>
      <c r="BI78" s="329"/>
      <c r="BJ78" s="329"/>
      <c r="BK78" s="329"/>
    </row>
    <row r="79" spans="1:63">
      <c r="A79" s="339" t="s">
        <v>195</v>
      </c>
      <c r="B79" s="364" t="e">
        <f>F79</f>
        <v>#DIV/0!</v>
      </c>
      <c r="C79" s="364" t="e">
        <f>F81</f>
        <v>#DIV/0!</v>
      </c>
      <c r="D79" s="318"/>
      <c r="E79" s="1008"/>
      <c r="F79" s="374" t="e">
        <f>$F$95+($F$63-$F$95)*1/4</f>
        <v>#DIV/0!</v>
      </c>
      <c r="G79" s="322"/>
      <c r="H79" s="324"/>
      <c r="I79" s="317"/>
      <c r="J79" s="319"/>
      <c r="K79" s="319"/>
      <c r="L79" s="316"/>
      <c r="M79" s="319"/>
      <c r="N79" s="317"/>
      <c r="O79" s="319"/>
      <c r="P79" s="319"/>
      <c r="Q79" s="319"/>
      <c r="R79" s="319"/>
      <c r="S79" s="319"/>
      <c r="T79" s="319"/>
      <c r="U79" s="317"/>
      <c r="V79" s="319"/>
      <c r="W79" s="319"/>
      <c r="X79" s="319"/>
      <c r="Y79" s="319"/>
      <c r="Z79" s="317"/>
      <c r="AA79" s="317"/>
      <c r="AB79" s="319"/>
      <c r="AC79" s="319"/>
      <c r="AD79" s="319"/>
      <c r="AE79" s="319"/>
      <c r="AF79" s="319"/>
      <c r="AG79" s="319"/>
      <c r="AH79" s="319"/>
      <c r="AI79" s="316"/>
      <c r="AJ79" s="316"/>
      <c r="AK79" s="316"/>
      <c r="AL79" s="316"/>
      <c r="AM79" s="316"/>
      <c r="AN79" s="316"/>
      <c r="AO79" s="316"/>
      <c r="AP79" s="316"/>
      <c r="AQ79" s="316"/>
      <c r="AR79" s="316"/>
      <c r="AS79" s="316"/>
      <c r="AT79" s="316"/>
      <c r="AU79" s="316"/>
      <c r="AV79" s="319"/>
      <c r="AW79" s="319"/>
      <c r="AX79" s="319"/>
      <c r="AY79" s="319"/>
      <c r="AZ79" s="319"/>
      <c r="BA79" s="319"/>
      <c r="BB79" s="319"/>
      <c r="BC79" s="319"/>
      <c r="BD79" s="319"/>
      <c r="BE79" s="319"/>
      <c r="BF79" s="319"/>
      <c r="BG79" s="319"/>
      <c r="BH79" s="319"/>
      <c r="BI79" s="329"/>
      <c r="BJ79" s="329"/>
      <c r="BK79" s="329"/>
    </row>
    <row r="80" spans="1:63">
      <c r="A80" s="339"/>
      <c r="B80" s="364" t="e">
        <f>F80</f>
        <v>#DIV/0!</v>
      </c>
      <c r="C80" s="364" t="e">
        <f>F82</f>
        <v>#DIV/0!</v>
      </c>
      <c r="D80" s="318"/>
      <c r="E80" s="1008"/>
      <c r="F80" s="374" t="e">
        <f>F79-HTW_*SIN($F$58)</f>
        <v>#DIV/0!</v>
      </c>
      <c r="G80" s="322"/>
      <c r="H80" s="324"/>
      <c r="I80" s="316"/>
      <c r="J80" s="319"/>
      <c r="K80" s="319"/>
      <c r="L80" s="316"/>
      <c r="M80" s="319"/>
      <c r="N80" s="319"/>
      <c r="O80" s="315"/>
      <c r="P80" s="315"/>
      <c r="Q80" s="315"/>
      <c r="R80" s="319"/>
      <c r="S80" s="319"/>
      <c r="T80" s="319"/>
      <c r="U80" s="319"/>
      <c r="V80" s="315"/>
      <c r="W80" s="319"/>
      <c r="X80" s="316"/>
      <c r="Y80" s="316"/>
      <c r="Z80" s="319"/>
      <c r="AA80" s="319"/>
      <c r="AB80" s="324"/>
      <c r="AC80" s="319"/>
      <c r="AD80" s="316"/>
      <c r="AE80" s="319"/>
      <c r="AF80" s="319"/>
      <c r="AG80" s="319"/>
      <c r="AH80" s="319"/>
      <c r="AI80" s="316"/>
      <c r="AJ80" s="316"/>
      <c r="AK80" s="316"/>
      <c r="AL80" s="316"/>
      <c r="AM80" s="316"/>
      <c r="AN80" s="316"/>
      <c r="AO80" s="316"/>
      <c r="AP80" s="316"/>
      <c r="AQ80" s="316"/>
      <c r="AR80" s="316"/>
      <c r="AS80" s="316"/>
      <c r="AT80" s="316"/>
      <c r="AU80" s="316"/>
      <c r="AV80" s="319"/>
      <c r="AW80" s="319"/>
      <c r="AX80" s="319"/>
      <c r="AY80" s="319"/>
      <c r="AZ80" s="319"/>
      <c r="BA80" s="319"/>
      <c r="BB80" s="319"/>
      <c r="BC80" s="319"/>
      <c r="BD80" s="319"/>
      <c r="BE80" s="319"/>
      <c r="BF80" s="319"/>
      <c r="BG80" s="319"/>
      <c r="BH80" s="319"/>
      <c r="BI80" s="329"/>
      <c r="BJ80" s="329"/>
      <c r="BK80" s="329"/>
    </row>
    <row r="81" spans="1:63">
      <c r="A81" s="339" t="s">
        <v>188</v>
      </c>
      <c r="B81" s="364" t="e">
        <f>F95</f>
        <v>#DIV/0!</v>
      </c>
      <c r="C81" s="364" t="e">
        <f>F97</f>
        <v>#DIV/0!</v>
      </c>
      <c r="D81" s="318"/>
      <c r="E81" s="1008"/>
      <c r="F81" s="374" t="e">
        <f>F73+(F71-F79)*TAN($F$58)</f>
        <v>#DIV/0!</v>
      </c>
      <c r="G81" s="322"/>
      <c r="H81" s="324"/>
      <c r="I81" s="316"/>
      <c r="J81" s="319"/>
      <c r="K81" s="319"/>
      <c r="L81" s="316"/>
      <c r="M81" s="319"/>
      <c r="N81" s="319"/>
      <c r="O81" s="315"/>
      <c r="P81" s="315"/>
      <c r="Q81" s="315"/>
      <c r="R81" s="319"/>
      <c r="S81" s="319"/>
      <c r="T81" s="319"/>
      <c r="U81" s="316"/>
      <c r="V81" s="316"/>
      <c r="W81" s="316"/>
      <c r="X81" s="316"/>
      <c r="Y81" s="316"/>
      <c r="Z81" s="316"/>
      <c r="AA81" s="316"/>
      <c r="AB81" s="316"/>
      <c r="AC81" s="316"/>
      <c r="AD81" s="316"/>
      <c r="AE81" s="319"/>
      <c r="AF81" s="320"/>
      <c r="AG81" s="319"/>
      <c r="AH81" s="319"/>
      <c r="AI81" s="316"/>
      <c r="AJ81" s="316"/>
      <c r="AK81" s="316"/>
      <c r="AL81" s="316"/>
      <c r="AM81" s="316"/>
      <c r="AN81" s="316"/>
      <c r="AO81" s="316"/>
      <c r="AP81" s="316"/>
      <c r="AQ81" s="316"/>
      <c r="AR81" s="316"/>
      <c r="AS81" s="316"/>
      <c r="AT81" s="316"/>
      <c r="AU81" s="316"/>
      <c r="AV81" s="319"/>
      <c r="AW81" s="319"/>
      <c r="AX81" s="319"/>
      <c r="AY81" s="319"/>
      <c r="AZ81" s="319"/>
      <c r="BA81" s="319"/>
      <c r="BB81" s="319"/>
      <c r="BC81" s="319"/>
      <c r="BD81" s="319"/>
      <c r="BE81" s="319"/>
      <c r="BF81" s="319"/>
      <c r="BG81" s="319"/>
      <c r="BH81" s="319"/>
      <c r="BI81" s="329"/>
      <c r="BJ81" s="329"/>
      <c r="BK81" s="329"/>
    </row>
    <row r="82" spans="1:63">
      <c r="A82" s="339"/>
      <c r="B82" s="364" t="e">
        <f>F96</f>
        <v>#DIV/0!</v>
      </c>
      <c r="C82" s="364" t="e">
        <f>F98</f>
        <v>#DIV/0!</v>
      </c>
      <c r="D82" s="318"/>
      <c r="E82" s="1008"/>
      <c r="F82" s="331" t="e">
        <f>F81-HTW_*COS($F$58)</f>
        <v>#DIV/0!</v>
      </c>
      <c r="G82" s="322"/>
      <c r="H82" s="324"/>
      <c r="I82" s="316"/>
      <c r="J82" s="319"/>
      <c r="K82" s="319"/>
      <c r="L82" s="316"/>
      <c r="M82" s="319"/>
      <c r="N82" s="319"/>
      <c r="O82" s="315"/>
      <c r="P82" s="315"/>
      <c r="Q82" s="315"/>
      <c r="R82" s="319"/>
      <c r="S82" s="319"/>
      <c r="T82" s="319"/>
      <c r="U82" s="316"/>
      <c r="V82" s="316"/>
      <c r="W82" s="316"/>
      <c r="X82" s="316"/>
      <c r="Y82" s="316"/>
      <c r="Z82" s="319"/>
      <c r="AA82" s="319"/>
      <c r="AB82" s="315"/>
      <c r="AC82" s="319"/>
      <c r="AD82" s="316"/>
      <c r="AE82" s="319"/>
      <c r="AF82" s="320"/>
      <c r="AG82" s="319"/>
      <c r="AH82" s="319"/>
      <c r="AI82" s="316"/>
      <c r="AJ82" s="316"/>
      <c r="AK82" s="316"/>
      <c r="AL82" s="316"/>
      <c r="AM82" s="316"/>
      <c r="AN82" s="316"/>
      <c r="AO82" s="316"/>
      <c r="AP82" s="316"/>
      <c r="AQ82" s="316"/>
      <c r="AR82" s="316"/>
      <c r="AS82" s="316"/>
      <c r="AT82" s="316"/>
      <c r="AU82" s="316"/>
      <c r="AV82" s="319"/>
      <c r="AW82" s="319"/>
      <c r="AX82" s="319"/>
      <c r="AY82" s="319"/>
      <c r="AZ82" s="319"/>
      <c r="BA82" s="319"/>
      <c r="BB82" s="319"/>
      <c r="BC82" s="319"/>
      <c r="BD82" s="319"/>
      <c r="BE82" s="319"/>
      <c r="BF82" s="319"/>
      <c r="BG82" s="319"/>
      <c r="BH82" s="319"/>
      <c r="BI82" s="329"/>
      <c r="BJ82" s="329"/>
      <c r="BK82" s="329"/>
    </row>
    <row r="83" spans="1:63">
      <c r="A83" s="339" t="s">
        <v>1504</v>
      </c>
      <c r="B83" s="364">
        <f>F139</f>
        <v>-0.13661346012857814</v>
      </c>
      <c r="C83" s="364">
        <f>F140</f>
        <v>1.3969025601349929</v>
      </c>
      <c r="D83" s="318"/>
      <c r="E83" s="1007" t="s">
        <v>2555</v>
      </c>
      <c r="F83" s="372"/>
      <c r="G83" s="322"/>
      <c r="H83" s="324"/>
      <c r="I83" s="316"/>
      <c r="J83" s="319"/>
      <c r="K83" s="319"/>
      <c r="L83" s="316"/>
      <c r="M83" s="319"/>
      <c r="N83" s="319"/>
      <c r="O83" s="315"/>
      <c r="P83" s="315"/>
      <c r="Q83" s="315"/>
      <c r="R83" s="319"/>
      <c r="S83" s="319"/>
      <c r="T83" s="319"/>
      <c r="U83" s="316"/>
      <c r="V83" s="316"/>
      <c r="W83" s="316"/>
      <c r="X83" s="316"/>
      <c r="Y83" s="316"/>
      <c r="Z83" s="319"/>
      <c r="AA83" s="319"/>
      <c r="AB83" s="315"/>
      <c r="AC83" s="319"/>
      <c r="AD83" s="316"/>
      <c r="AE83" s="316"/>
      <c r="AF83" s="316"/>
      <c r="AG83" s="319"/>
      <c r="AH83" s="319"/>
      <c r="AI83" s="316"/>
      <c r="AJ83" s="316"/>
      <c r="AK83" s="316"/>
      <c r="AL83" s="316"/>
      <c r="AM83" s="316"/>
      <c r="AN83" s="316"/>
      <c r="AO83" s="316"/>
      <c r="AP83" s="316"/>
      <c r="AQ83" s="316"/>
      <c r="AR83" s="316"/>
      <c r="AS83" s="316"/>
      <c r="AT83" s="316"/>
      <c r="AU83" s="316"/>
      <c r="AV83" s="319"/>
      <c r="AW83" s="319"/>
      <c r="AX83" s="319"/>
      <c r="AY83" s="319"/>
      <c r="AZ83" s="319"/>
      <c r="BA83" s="319"/>
      <c r="BB83" s="319"/>
      <c r="BC83" s="319"/>
      <c r="BD83" s="319"/>
      <c r="BE83" s="319"/>
      <c r="BF83" s="319"/>
      <c r="BG83" s="319"/>
      <c r="BH83" s="319"/>
      <c r="BI83" s="329"/>
      <c r="BJ83" s="329"/>
      <c r="BK83" s="329"/>
    </row>
    <row r="84" spans="1:63">
      <c r="A84" s="339"/>
      <c r="B84" s="364">
        <f>F141</f>
        <v>-0.13661346012857814</v>
      </c>
      <c r="C84" s="364">
        <f>F142</f>
        <v>1.3969025601349929</v>
      </c>
      <c r="D84" s="318"/>
      <c r="E84" s="1008"/>
      <c r="F84" s="372"/>
      <c r="G84" s="322"/>
      <c r="H84" s="324"/>
      <c r="I84" s="316"/>
      <c r="J84" s="319"/>
      <c r="K84" s="319"/>
      <c r="L84" s="316"/>
      <c r="M84" s="319"/>
      <c r="N84" s="317"/>
      <c r="O84" s="315"/>
      <c r="P84" s="319"/>
      <c r="Q84" s="319"/>
      <c r="R84" s="319"/>
      <c r="S84" s="319"/>
      <c r="T84" s="319"/>
      <c r="U84" s="316"/>
      <c r="V84" s="316"/>
      <c r="W84" s="316"/>
      <c r="X84" s="316"/>
      <c r="Y84" s="316"/>
      <c r="Z84" s="319"/>
      <c r="AA84" s="319"/>
      <c r="AB84" s="316"/>
      <c r="AC84" s="319"/>
      <c r="AD84" s="316"/>
      <c r="AE84" s="319"/>
      <c r="AF84" s="316"/>
      <c r="AG84" s="316"/>
      <c r="AH84" s="319"/>
      <c r="AI84" s="316"/>
      <c r="AJ84" s="316"/>
      <c r="AK84" s="316"/>
      <c r="AL84" s="316"/>
      <c r="AM84" s="316"/>
      <c r="AN84" s="316"/>
      <c r="AO84" s="316"/>
      <c r="AP84" s="316"/>
      <c r="AQ84" s="316"/>
      <c r="AR84" s="316"/>
      <c r="AS84" s="316"/>
      <c r="AT84" s="316"/>
      <c r="AU84" s="316"/>
      <c r="AV84" s="319"/>
      <c r="AW84" s="319"/>
      <c r="AX84" s="319"/>
      <c r="AY84" s="319"/>
      <c r="AZ84" s="319"/>
      <c r="BA84" s="319"/>
      <c r="BB84" s="319"/>
      <c r="BC84" s="319"/>
      <c r="BD84" s="319"/>
      <c r="BE84" s="319"/>
      <c r="BF84" s="319"/>
      <c r="BG84" s="319"/>
      <c r="BH84" s="319"/>
      <c r="BI84" s="329"/>
      <c r="BJ84" s="329"/>
      <c r="BK84" s="329"/>
    </row>
    <row r="85" spans="1:63">
      <c r="A85" s="339" t="s">
        <v>1506</v>
      </c>
      <c r="B85" s="364">
        <f>F147</f>
        <v>-0.13661346012857814</v>
      </c>
      <c r="C85" s="364">
        <f>F148</f>
        <v>1.3969025601349929</v>
      </c>
      <c r="D85" s="318"/>
      <c r="E85" s="1008"/>
      <c r="F85" s="372"/>
      <c r="G85" s="322"/>
      <c r="H85" s="324"/>
      <c r="I85" s="316"/>
      <c r="J85" s="319"/>
      <c r="K85" s="319"/>
      <c r="L85" s="316"/>
      <c r="M85" s="319"/>
      <c r="N85" s="317"/>
      <c r="O85" s="315"/>
      <c r="P85" s="319"/>
      <c r="Q85" s="319"/>
      <c r="R85" s="319"/>
      <c r="S85" s="319"/>
      <c r="T85" s="319"/>
      <c r="U85" s="316"/>
      <c r="V85" s="324"/>
      <c r="W85" s="316"/>
      <c r="X85" s="316"/>
      <c r="Y85" s="316"/>
      <c r="Z85" s="316"/>
      <c r="AA85" s="316"/>
      <c r="AB85" s="323"/>
      <c r="AC85" s="316"/>
      <c r="AD85" s="316"/>
      <c r="AE85" s="316"/>
      <c r="AF85" s="316"/>
      <c r="AG85" s="316"/>
      <c r="AH85" s="319"/>
      <c r="AI85" s="316"/>
      <c r="AJ85" s="316"/>
      <c r="AK85" s="316"/>
      <c r="AL85" s="316"/>
      <c r="AM85" s="316"/>
      <c r="AN85" s="316"/>
      <c r="AO85" s="316"/>
      <c r="AP85" s="316"/>
      <c r="AQ85" s="316"/>
      <c r="AR85" s="316"/>
      <c r="AS85" s="316"/>
      <c r="AT85" s="316"/>
      <c r="AU85" s="316"/>
      <c r="AV85" s="319"/>
      <c r="AW85" s="319"/>
      <c r="AX85" s="319"/>
      <c r="AY85" s="319"/>
      <c r="AZ85" s="319"/>
      <c r="BA85" s="319"/>
      <c r="BB85" s="319"/>
      <c r="BC85" s="319"/>
      <c r="BD85" s="319"/>
      <c r="BE85" s="319"/>
      <c r="BF85" s="319"/>
      <c r="BG85" s="319"/>
      <c r="BH85" s="319"/>
      <c r="BI85" s="329"/>
      <c r="BJ85" s="329"/>
      <c r="BK85" s="329"/>
    </row>
    <row r="86" spans="1:63">
      <c r="A86" s="339"/>
      <c r="B86" s="364">
        <f>F149</f>
        <v>-0.13661346012857814</v>
      </c>
      <c r="C86" s="364">
        <f>F150</f>
        <v>1.3969025601349929</v>
      </c>
      <c r="D86" s="318"/>
      <c r="E86" s="1008"/>
      <c r="F86" s="372"/>
      <c r="G86" s="322"/>
      <c r="H86" s="324"/>
      <c r="I86" s="316"/>
      <c r="J86" s="319"/>
      <c r="K86" s="319"/>
      <c r="L86" s="316"/>
      <c r="M86" s="319"/>
      <c r="N86" s="316"/>
      <c r="O86" s="316"/>
      <c r="P86" s="316"/>
      <c r="Q86" s="319"/>
      <c r="R86" s="319"/>
      <c r="S86" s="319"/>
      <c r="T86" s="319"/>
      <c r="U86" s="316"/>
      <c r="V86" s="316"/>
      <c r="W86" s="316"/>
      <c r="X86" s="316"/>
      <c r="Y86" s="316"/>
      <c r="Z86" s="317"/>
      <c r="AA86" s="317"/>
      <c r="AB86" s="323"/>
      <c r="AC86" s="317"/>
      <c r="AD86" s="316"/>
      <c r="AE86" s="319"/>
      <c r="AF86" s="316"/>
      <c r="AG86" s="316"/>
      <c r="AH86" s="319"/>
      <c r="AI86" s="316"/>
      <c r="AJ86" s="316"/>
      <c r="AK86" s="316"/>
      <c r="AL86" s="316"/>
      <c r="AM86" s="316"/>
      <c r="AN86" s="316"/>
      <c r="AO86" s="316"/>
      <c r="AP86" s="316"/>
      <c r="AQ86" s="316"/>
      <c r="AR86" s="316"/>
      <c r="AS86" s="316"/>
      <c r="AT86" s="316"/>
      <c r="AU86" s="316"/>
      <c r="AV86" s="319"/>
      <c r="AW86" s="319"/>
      <c r="AX86" s="319"/>
      <c r="AY86" s="319"/>
      <c r="AZ86" s="319"/>
      <c r="BA86" s="319"/>
      <c r="BB86" s="319"/>
      <c r="BC86" s="319"/>
      <c r="BD86" s="319"/>
      <c r="BE86" s="319"/>
      <c r="BF86" s="319"/>
      <c r="BG86" s="319"/>
      <c r="BH86" s="319"/>
      <c r="BI86" s="329"/>
      <c r="BJ86" s="329"/>
      <c r="BK86" s="329"/>
    </row>
    <row r="87" spans="1:63">
      <c r="A87" s="339" t="s">
        <v>1507</v>
      </c>
      <c r="B87" s="364">
        <f>F155</f>
        <v>-0.13661346012857814</v>
      </c>
      <c r="C87" s="364">
        <f>F156</f>
        <v>1.3969025601349929</v>
      </c>
      <c r="D87" s="318"/>
      <c r="E87" s="1008"/>
      <c r="F87" s="374" t="e">
        <f>$F$95+($F$63-$F$95)*1/8</f>
        <v>#DIV/0!</v>
      </c>
      <c r="G87" s="322"/>
      <c r="H87" s="324"/>
      <c r="I87" s="316"/>
      <c r="J87" s="319"/>
      <c r="K87" s="319"/>
      <c r="L87" s="316"/>
      <c r="M87" s="319"/>
      <c r="N87" s="319"/>
      <c r="O87" s="315"/>
      <c r="P87" s="315"/>
      <c r="Q87" s="319"/>
      <c r="R87" s="319"/>
      <c r="S87" s="319"/>
      <c r="T87" s="319"/>
      <c r="U87" s="317"/>
      <c r="V87" s="317"/>
      <c r="W87" s="323"/>
      <c r="X87" s="317"/>
      <c r="Y87" s="319"/>
      <c r="Z87" s="319"/>
      <c r="AA87" s="319"/>
      <c r="AB87" s="319"/>
      <c r="AC87" s="319"/>
      <c r="AD87" s="319"/>
      <c r="AE87" s="319"/>
      <c r="AF87" s="319"/>
      <c r="AG87" s="319"/>
      <c r="AH87" s="319"/>
      <c r="AI87" s="316"/>
      <c r="AJ87" s="316"/>
      <c r="AK87" s="316"/>
      <c r="AL87" s="316"/>
      <c r="AM87" s="316"/>
      <c r="AN87" s="316"/>
      <c r="AO87" s="316"/>
      <c r="AP87" s="316"/>
      <c r="AQ87" s="316"/>
      <c r="AR87" s="316"/>
      <c r="AS87" s="316"/>
      <c r="AT87" s="316"/>
      <c r="AU87" s="316"/>
      <c r="AV87" s="319"/>
      <c r="AW87" s="319"/>
      <c r="AX87" s="319"/>
      <c r="AY87" s="319"/>
      <c r="AZ87" s="319"/>
      <c r="BA87" s="319"/>
      <c r="BB87" s="319"/>
      <c r="BC87" s="319"/>
      <c r="BD87" s="319"/>
      <c r="BE87" s="319"/>
      <c r="BF87" s="319"/>
      <c r="BG87" s="319"/>
      <c r="BH87" s="319"/>
      <c r="BI87" s="329"/>
      <c r="BJ87" s="329"/>
      <c r="BK87" s="329"/>
    </row>
    <row r="88" spans="1:63">
      <c r="A88" s="339"/>
      <c r="B88" s="364">
        <f>F157</f>
        <v>-0.13661346012857814</v>
      </c>
      <c r="C88" s="364">
        <f>F158</f>
        <v>1.3969025601349929</v>
      </c>
      <c r="D88" s="318"/>
      <c r="E88" s="1008"/>
      <c r="F88" s="374" t="e">
        <f>F87-HUW_*SIN($F$58)</f>
        <v>#DIV/0!</v>
      </c>
      <c r="G88" s="322"/>
      <c r="H88" s="324"/>
      <c r="I88" s="316"/>
      <c r="J88" s="319"/>
      <c r="K88" s="319"/>
      <c r="L88" s="316"/>
      <c r="M88" s="319"/>
      <c r="N88" s="316"/>
      <c r="O88" s="324"/>
      <c r="P88" s="324"/>
      <c r="Q88" s="316"/>
      <c r="R88" s="319"/>
      <c r="S88" s="319"/>
      <c r="T88" s="319"/>
      <c r="U88" s="317"/>
      <c r="V88" s="317"/>
      <c r="W88" s="323"/>
      <c r="X88" s="317"/>
      <c r="Y88" s="319"/>
      <c r="Z88" s="319"/>
      <c r="AA88" s="319"/>
      <c r="AB88" s="319"/>
      <c r="AC88" s="319"/>
      <c r="AD88" s="319"/>
      <c r="AE88" s="319"/>
      <c r="AF88" s="319"/>
      <c r="AG88" s="319"/>
      <c r="AH88" s="319"/>
      <c r="AI88" s="316"/>
      <c r="AJ88" s="316"/>
      <c r="AK88" s="316"/>
      <c r="AL88" s="316"/>
      <c r="AM88" s="316"/>
      <c r="AN88" s="316"/>
      <c r="AO88" s="316"/>
      <c r="AP88" s="316"/>
      <c r="AQ88" s="316"/>
      <c r="AR88" s="316"/>
      <c r="AS88" s="316"/>
      <c r="AT88" s="316"/>
      <c r="AU88" s="316"/>
      <c r="AV88" s="319"/>
      <c r="AW88" s="319"/>
      <c r="AX88" s="319"/>
      <c r="AY88" s="319"/>
      <c r="AZ88" s="319"/>
      <c r="BA88" s="319"/>
      <c r="BB88" s="319"/>
      <c r="BC88" s="319"/>
      <c r="BD88" s="319"/>
      <c r="BE88" s="319"/>
      <c r="BF88" s="319"/>
      <c r="BG88" s="319"/>
      <c r="BH88" s="319"/>
      <c r="BI88" s="329"/>
      <c r="BJ88" s="329"/>
      <c r="BK88" s="329"/>
    </row>
    <row r="89" spans="1:63">
      <c r="A89" s="339" t="s">
        <v>1823</v>
      </c>
      <c r="B89" s="364">
        <f>F240</f>
        <v>-0.13661346012857814</v>
      </c>
      <c r="C89" s="364">
        <f>F241</f>
        <v>1.3969025601349929</v>
      </c>
      <c r="D89" s="318"/>
      <c r="E89" s="1008"/>
      <c r="F89" s="374" t="e">
        <f>F81+(F79-F87)*TAN($F$58)</f>
        <v>#DIV/0!</v>
      </c>
      <c r="G89" s="322"/>
      <c r="H89" s="324"/>
      <c r="I89" s="316"/>
      <c r="J89" s="319"/>
      <c r="K89" s="319"/>
      <c r="L89" s="316"/>
      <c r="M89" s="319"/>
      <c r="N89" s="319"/>
      <c r="O89" s="315"/>
      <c r="P89" s="315"/>
      <c r="Q89" s="319"/>
      <c r="R89" s="319"/>
      <c r="S89" s="319"/>
      <c r="T89" s="319"/>
      <c r="U89" s="319"/>
      <c r="V89" s="319"/>
      <c r="W89" s="315"/>
      <c r="X89" s="319"/>
      <c r="Y89" s="319"/>
      <c r="Z89" s="320"/>
      <c r="AA89" s="320"/>
      <c r="AB89" s="319"/>
      <c r="AC89" s="319"/>
      <c r="AD89" s="319"/>
      <c r="AE89" s="319"/>
      <c r="AF89" s="319"/>
      <c r="AG89" s="319"/>
      <c r="AH89" s="319"/>
      <c r="AI89" s="316"/>
      <c r="AJ89" s="316"/>
      <c r="AK89" s="316"/>
      <c r="AL89" s="316"/>
      <c r="AM89" s="316"/>
      <c r="AN89" s="316"/>
      <c r="AO89" s="316"/>
      <c r="AP89" s="316"/>
      <c r="AQ89" s="316"/>
      <c r="AR89" s="316"/>
      <c r="AS89" s="316"/>
      <c r="AT89" s="316"/>
      <c r="AU89" s="316"/>
      <c r="AV89" s="319"/>
      <c r="AW89" s="319"/>
      <c r="AX89" s="319"/>
      <c r="AY89" s="319"/>
      <c r="AZ89" s="319"/>
      <c r="BA89" s="319"/>
      <c r="BB89" s="319"/>
      <c r="BC89" s="319"/>
      <c r="BD89" s="319"/>
      <c r="BE89" s="319"/>
      <c r="BF89" s="319"/>
      <c r="BG89" s="319"/>
      <c r="BH89" s="319"/>
      <c r="BI89" s="329"/>
      <c r="BJ89" s="329"/>
      <c r="BK89" s="329"/>
    </row>
    <row r="90" spans="1:63">
      <c r="A90" s="339"/>
      <c r="B90" s="364" t="e">
        <f>F242</f>
        <v>#DIV/0!</v>
      </c>
      <c r="C90" s="364" t="e">
        <f>F243</f>
        <v>#DIV/0!</v>
      </c>
      <c r="D90" s="318"/>
      <c r="E90" s="1008"/>
      <c r="F90" s="331" t="e">
        <f>F89-HUW_*COS($F$58)</f>
        <v>#DIV/0!</v>
      </c>
      <c r="G90" s="322"/>
      <c r="H90" s="324"/>
      <c r="I90" s="316"/>
      <c r="J90" s="315"/>
      <c r="K90" s="319"/>
      <c r="L90" s="316"/>
      <c r="M90" s="319"/>
      <c r="N90" s="319"/>
      <c r="O90" s="315"/>
      <c r="P90" s="319"/>
      <c r="Q90" s="319"/>
      <c r="R90" s="319"/>
      <c r="S90" s="319"/>
      <c r="T90" s="319"/>
      <c r="U90" s="319"/>
      <c r="V90" s="319"/>
      <c r="W90" s="315"/>
      <c r="X90" s="319"/>
      <c r="Y90" s="319"/>
      <c r="Z90" s="315"/>
      <c r="AA90" s="315"/>
      <c r="AB90" s="319"/>
      <c r="AC90" s="319"/>
      <c r="AD90" s="319"/>
      <c r="AE90" s="319"/>
      <c r="AF90" s="319"/>
      <c r="AG90" s="319"/>
      <c r="AH90" s="319"/>
      <c r="AI90" s="316"/>
      <c r="AJ90" s="316"/>
      <c r="AK90" s="316"/>
      <c r="AL90" s="316"/>
      <c r="AM90" s="316"/>
      <c r="AN90" s="316"/>
      <c r="AO90" s="316"/>
      <c r="AP90" s="316"/>
      <c r="AQ90" s="316"/>
      <c r="AR90" s="316"/>
      <c r="AS90" s="316"/>
      <c r="AT90" s="316"/>
      <c r="AU90" s="316"/>
      <c r="AV90" s="319"/>
      <c r="AW90" s="319"/>
      <c r="AX90" s="319"/>
      <c r="AY90" s="319"/>
      <c r="AZ90" s="319"/>
      <c r="BA90" s="319"/>
      <c r="BB90" s="319"/>
      <c r="BC90" s="319"/>
      <c r="BD90" s="319"/>
      <c r="BE90" s="319"/>
      <c r="BF90" s="319"/>
      <c r="BG90" s="319"/>
      <c r="BH90" s="319"/>
      <c r="BI90" s="329"/>
      <c r="BJ90" s="329"/>
      <c r="BK90" s="329"/>
    </row>
    <row r="91" spans="1:63">
      <c r="A91" s="339" t="s">
        <v>1824</v>
      </c>
      <c r="B91" s="364">
        <f>F159</f>
        <v>0</v>
      </c>
      <c r="C91" s="364">
        <f>F161</f>
        <v>-0.2</v>
      </c>
      <c r="D91" s="318"/>
      <c r="E91" s="1007" t="s">
        <v>188</v>
      </c>
      <c r="F91" s="372"/>
      <c r="G91" s="322"/>
      <c r="H91" s="324"/>
      <c r="I91" s="316"/>
      <c r="J91" s="319"/>
      <c r="K91" s="319"/>
      <c r="L91" s="316"/>
      <c r="M91" s="319"/>
      <c r="N91" s="317"/>
      <c r="O91" s="315"/>
      <c r="P91" s="319"/>
      <c r="Q91" s="319"/>
      <c r="R91" s="319"/>
      <c r="S91" s="319"/>
      <c r="T91" s="319"/>
      <c r="U91" s="319"/>
      <c r="V91" s="319"/>
      <c r="W91" s="315"/>
      <c r="X91" s="319"/>
      <c r="Y91" s="319"/>
      <c r="Z91" s="315"/>
      <c r="AA91" s="315"/>
      <c r="AB91" s="319"/>
      <c r="AC91" s="319"/>
      <c r="AD91" s="319"/>
      <c r="AE91" s="319"/>
      <c r="AF91" s="319"/>
      <c r="AG91" s="319"/>
      <c r="AH91" s="319"/>
      <c r="AI91" s="316"/>
      <c r="AJ91" s="316"/>
      <c r="AK91" s="316"/>
      <c r="AL91" s="316"/>
      <c r="AM91" s="316"/>
      <c r="AN91" s="316"/>
      <c r="AO91" s="316"/>
      <c r="AP91" s="316"/>
      <c r="AQ91" s="316"/>
      <c r="AR91" s="316"/>
      <c r="AS91" s="316"/>
      <c r="AT91" s="316"/>
      <c r="AU91" s="316"/>
      <c r="AV91" s="316"/>
      <c r="AW91" s="316"/>
      <c r="AX91" s="316"/>
      <c r="AY91" s="316"/>
      <c r="AZ91" s="316"/>
      <c r="BA91" s="316"/>
      <c r="BB91" s="316"/>
      <c r="BC91" s="316"/>
      <c r="BD91" s="316"/>
      <c r="BE91" s="316"/>
      <c r="BF91" s="316"/>
      <c r="BG91" s="316"/>
      <c r="BH91" s="316"/>
      <c r="BJ91" s="329"/>
      <c r="BK91" s="329"/>
    </row>
    <row r="92" spans="1:63">
      <c r="A92" s="339"/>
      <c r="B92" s="364">
        <f>F160</f>
        <v>0.4</v>
      </c>
      <c r="C92" s="364">
        <f>F162</f>
        <v>-0.2</v>
      </c>
      <c r="D92" s="318"/>
      <c r="E92" s="1008"/>
      <c r="F92" s="372"/>
      <c r="G92" s="322"/>
      <c r="H92" s="324"/>
      <c r="I92" s="316"/>
      <c r="J92" s="319"/>
      <c r="K92" s="319"/>
      <c r="L92" s="316"/>
      <c r="M92" s="319"/>
      <c r="N92" s="317"/>
      <c r="O92" s="315"/>
      <c r="P92" s="315"/>
      <c r="Q92" s="319"/>
      <c r="R92" s="319"/>
      <c r="S92" s="319"/>
      <c r="T92" s="319"/>
      <c r="U92" s="317"/>
      <c r="V92" s="317"/>
      <c r="W92" s="323"/>
      <c r="X92" s="317"/>
      <c r="Y92" s="319"/>
      <c r="Z92" s="315"/>
      <c r="AA92" s="315"/>
      <c r="AB92" s="319"/>
      <c r="AC92" s="319"/>
      <c r="AD92" s="319"/>
      <c r="AE92" s="319"/>
      <c r="AF92" s="319"/>
      <c r="AG92" s="319"/>
      <c r="AH92" s="319"/>
      <c r="AI92" s="316"/>
      <c r="AJ92" s="316"/>
      <c r="AK92" s="316"/>
      <c r="AL92" s="316"/>
      <c r="AM92" s="316"/>
      <c r="AN92" s="316"/>
      <c r="AO92" s="316"/>
      <c r="AP92" s="316"/>
      <c r="AQ92" s="316"/>
      <c r="AR92" s="316"/>
      <c r="AS92" s="316"/>
      <c r="AT92" s="316"/>
      <c r="AU92" s="316"/>
      <c r="AV92" s="316"/>
      <c r="AW92" s="316"/>
      <c r="AX92" s="316"/>
      <c r="AY92" s="316"/>
      <c r="AZ92" s="316"/>
      <c r="BA92" s="316"/>
      <c r="BB92" s="316"/>
      <c r="BC92" s="316"/>
      <c r="BD92" s="316"/>
      <c r="BE92" s="316"/>
      <c r="BF92" s="316"/>
      <c r="BG92" s="316"/>
      <c r="BH92" s="316"/>
      <c r="BJ92" s="329"/>
      <c r="BK92" s="329"/>
    </row>
    <row r="93" spans="1:63">
      <c r="A93" s="339" t="s">
        <v>1825</v>
      </c>
      <c r="B93" s="364">
        <f>B60</f>
        <v>0</v>
      </c>
      <c r="C93" s="364">
        <f>C60</f>
        <v>-4.9999999999999989E-2</v>
      </c>
      <c r="D93" s="318"/>
      <c r="E93" s="1008"/>
      <c r="F93" s="372"/>
      <c r="G93" s="322"/>
      <c r="H93" s="324"/>
      <c r="I93" s="316"/>
      <c r="J93" s="319"/>
      <c r="K93" s="319"/>
      <c r="L93" s="316"/>
      <c r="M93" s="319"/>
      <c r="N93" s="319"/>
      <c r="O93" s="315"/>
      <c r="P93" s="315"/>
      <c r="Q93" s="315"/>
      <c r="R93" s="319"/>
      <c r="S93" s="319"/>
      <c r="T93" s="319"/>
      <c r="U93" s="316"/>
      <c r="V93" s="316"/>
      <c r="W93" s="316"/>
      <c r="X93" s="316"/>
      <c r="Y93" s="319"/>
      <c r="Z93" s="319"/>
      <c r="AA93" s="319"/>
      <c r="AB93" s="319"/>
      <c r="AC93" s="319"/>
      <c r="AD93" s="319"/>
      <c r="AE93" s="319"/>
      <c r="AF93" s="319"/>
      <c r="AG93" s="319"/>
      <c r="AH93" s="319"/>
      <c r="AI93" s="316"/>
      <c r="AJ93" s="316"/>
      <c r="AK93" s="316"/>
      <c r="AL93" s="316"/>
      <c r="AM93" s="316"/>
      <c r="AN93" s="316"/>
      <c r="AO93" s="316"/>
      <c r="AP93" s="316"/>
      <c r="AQ93" s="316"/>
      <c r="AR93" s="316"/>
      <c r="AS93" s="316"/>
      <c r="AT93" s="316"/>
      <c r="AU93" s="316"/>
      <c r="AV93" s="316"/>
      <c r="AW93" s="316"/>
      <c r="AX93" s="316"/>
      <c r="AY93" s="316"/>
      <c r="AZ93" s="316"/>
      <c r="BA93" s="316"/>
      <c r="BB93" s="316"/>
      <c r="BC93" s="316"/>
      <c r="BD93" s="316"/>
      <c r="BE93" s="316"/>
      <c r="BF93" s="316"/>
      <c r="BG93" s="316"/>
      <c r="BH93" s="316"/>
      <c r="BJ93" s="329"/>
      <c r="BK93" s="329"/>
    </row>
    <row r="94" spans="1:63">
      <c r="A94" s="339"/>
      <c r="B94" s="364">
        <f>B68</f>
        <v>-0.13661346012857814</v>
      </c>
      <c r="C94" s="364">
        <f>C68</f>
        <v>1.3969025601349929</v>
      </c>
      <c r="D94" s="318"/>
      <c r="E94" s="1008"/>
      <c r="F94" s="372"/>
      <c r="G94" s="322"/>
      <c r="H94" s="324"/>
      <c r="I94" s="316"/>
      <c r="J94" s="319"/>
      <c r="K94" s="319"/>
      <c r="L94" s="316"/>
      <c r="M94" s="319"/>
      <c r="N94" s="319"/>
      <c r="O94" s="315"/>
      <c r="P94" s="315"/>
      <c r="Q94" s="315"/>
      <c r="R94" s="319"/>
      <c r="S94" s="319"/>
      <c r="T94" s="319"/>
      <c r="U94" s="319"/>
      <c r="V94" s="317"/>
      <c r="W94" s="319"/>
      <c r="X94" s="319"/>
      <c r="Y94" s="319"/>
      <c r="Z94" s="317"/>
      <c r="AA94" s="317"/>
      <c r="AB94" s="319"/>
      <c r="AC94" s="319"/>
      <c r="AD94" s="319"/>
      <c r="AE94" s="319"/>
      <c r="AF94" s="319"/>
      <c r="AG94" s="319"/>
      <c r="AH94" s="319"/>
      <c r="AI94" s="316"/>
      <c r="AJ94" s="316"/>
      <c r="AK94" s="316"/>
      <c r="AL94" s="316"/>
      <c r="AM94" s="316"/>
      <c r="AN94" s="316"/>
      <c r="AO94" s="316"/>
      <c r="AP94" s="316"/>
      <c r="AQ94" s="316"/>
      <c r="AR94" s="316"/>
      <c r="AS94" s="316"/>
      <c r="AT94" s="316"/>
      <c r="AU94" s="316"/>
      <c r="AV94" s="316"/>
      <c r="AW94" s="316"/>
      <c r="AX94" s="316"/>
      <c r="AY94" s="316"/>
      <c r="AZ94" s="316"/>
      <c r="BA94" s="316"/>
      <c r="BB94" s="316"/>
      <c r="BC94" s="316"/>
      <c r="BD94" s="316"/>
      <c r="BE94" s="316"/>
      <c r="BF94" s="316"/>
      <c r="BG94" s="316"/>
      <c r="BH94" s="316"/>
      <c r="BJ94" s="329"/>
      <c r="BK94" s="329"/>
    </row>
    <row r="95" spans="1:63">
      <c r="A95" s="348" t="s">
        <v>1826</v>
      </c>
      <c r="B95" s="364" t="b">
        <f>F175</f>
        <v>0</v>
      </c>
      <c r="C95" s="364" t="b">
        <f>F177</f>
        <v>0</v>
      </c>
      <c r="D95" s="312"/>
      <c r="E95" s="1008"/>
      <c r="F95" s="331" t="e">
        <f>LH_-LL_*COS($F$58)-$F$18</f>
        <v>#DIV/0!</v>
      </c>
      <c r="G95" s="322"/>
      <c r="H95" s="324"/>
      <c r="I95" s="319"/>
      <c r="J95" s="319"/>
      <c r="K95" s="319"/>
      <c r="L95" s="319"/>
      <c r="M95" s="319"/>
      <c r="N95" s="319"/>
      <c r="O95" s="315"/>
      <c r="P95" s="319"/>
      <c r="Q95" s="319"/>
      <c r="R95" s="319"/>
      <c r="S95" s="319"/>
      <c r="T95" s="319"/>
      <c r="U95" s="316"/>
      <c r="V95" s="316"/>
      <c r="W95" s="324"/>
      <c r="X95" s="324"/>
      <c r="Y95" s="324"/>
      <c r="Z95" s="324"/>
      <c r="AA95" s="324"/>
      <c r="AB95" s="319"/>
      <c r="AC95" s="316"/>
      <c r="AD95" s="316"/>
      <c r="AE95" s="316"/>
      <c r="AF95" s="316"/>
      <c r="AG95" s="319"/>
      <c r="AH95" s="319"/>
      <c r="AI95" s="316"/>
      <c r="AJ95" s="316"/>
      <c r="AK95" s="316"/>
      <c r="AL95" s="316"/>
      <c r="AM95" s="316"/>
      <c r="AN95" s="316"/>
      <c r="AO95" s="316"/>
      <c r="AP95" s="316"/>
      <c r="AQ95" s="316"/>
      <c r="BJ95" s="329"/>
      <c r="BK95" s="329"/>
    </row>
    <row r="96" spans="1:63">
      <c r="A96" s="348"/>
      <c r="B96" s="364" t="b">
        <f>F176</f>
        <v>0</v>
      </c>
      <c r="C96" s="364" t="b">
        <f>F178</f>
        <v>0</v>
      </c>
      <c r="D96" s="312"/>
      <c r="E96" s="1008"/>
      <c r="F96" s="331" t="e">
        <f>F95-HHB_*SIN($F$58)</f>
        <v>#DIV/0!</v>
      </c>
      <c r="G96" s="322"/>
      <c r="H96" s="324"/>
      <c r="I96" s="319"/>
      <c r="J96" s="319"/>
      <c r="K96" s="319"/>
      <c r="L96" s="316"/>
      <c r="M96" s="319"/>
      <c r="N96" s="319"/>
      <c r="O96" s="315"/>
      <c r="P96" s="319"/>
      <c r="Q96" s="319"/>
      <c r="R96" s="319"/>
      <c r="S96" s="319"/>
      <c r="T96" s="319"/>
      <c r="U96" s="316"/>
      <c r="V96" s="324"/>
      <c r="W96" s="324"/>
      <c r="X96" s="324"/>
      <c r="Y96" s="324"/>
      <c r="Z96" s="324"/>
      <c r="AA96" s="324"/>
      <c r="AB96" s="319"/>
      <c r="AC96" s="316"/>
      <c r="AD96" s="316"/>
      <c r="AE96" s="316"/>
      <c r="AF96" s="316"/>
      <c r="AG96" s="319"/>
      <c r="AH96" s="319"/>
      <c r="AI96" s="316"/>
      <c r="AJ96" s="316"/>
      <c r="AK96" s="316"/>
      <c r="AL96" s="316"/>
      <c r="AM96" s="316"/>
      <c r="AN96" s="316"/>
      <c r="AO96" s="316"/>
      <c r="AP96" s="316"/>
      <c r="AQ96" s="316"/>
      <c r="BJ96" s="329"/>
      <c r="BK96" s="329"/>
    </row>
    <row r="97" spans="1:63">
      <c r="A97" s="348"/>
      <c r="B97" s="364" t="b">
        <f>F180</f>
        <v>0</v>
      </c>
      <c r="C97" s="364" t="b">
        <f>F182</f>
        <v>0</v>
      </c>
      <c r="D97" s="316"/>
      <c r="E97" s="1008"/>
      <c r="F97" s="331" t="e">
        <f>LL_*SIN($F$58)</f>
        <v>#DIV/0!</v>
      </c>
      <c r="G97" s="317"/>
      <c r="H97" s="324"/>
      <c r="I97" s="319"/>
      <c r="J97" s="319"/>
      <c r="K97" s="319"/>
      <c r="L97" s="319"/>
      <c r="M97" s="319"/>
      <c r="N97" s="319"/>
      <c r="O97" s="324"/>
      <c r="P97" s="319"/>
      <c r="Q97" s="319"/>
      <c r="R97" s="319"/>
      <c r="S97" s="319"/>
      <c r="T97" s="319"/>
      <c r="U97" s="319"/>
      <c r="V97" s="316"/>
      <c r="W97" s="324"/>
      <c r="X97" s="324"/>
      <c r="Y97" s="315"/>
      <c r="Z97" s="315"/>
      <c r="AA97" s="315"/>
      <c r="AB97" s="319"/>
      <c r="AC97" s="316"/>
      <c r="AD97" s="316"/>
      <c r="AE97" s="316"/>
      <c r="AF97" s="316"/>
      <c r="AG97" s="319"/>
      <c r="AH97" s="319"/>
      <c r="AI97" s="316"/>
      <c r="AJ97" s="316"/>
      <c r="AK97" s="316"/>
      <c r="AL97" s="316"/>
      <c r="AM97" s="316"/>
      <c r="AN97" s="316"/>
      <c r="AO97" s="316"/>
      <c r="AP97" s="316"/>
      <c r="AQ97" s="316"/>
      <c r="BJ97" s="329"/>
      <c r="BK97" s="329"/>
    </row>
    <row r="98" spans="1:63">
      <c r="A98" s="348"/>
      <c r="B98" s="364" t="b">
        <f>F181</f>
        <v>0</v>
      </c>
      <c r="C98" s="364" t="b">
        <f>F183</f>
        <v>0</v>
      </c>
      <c r="D98" s="316"/>
      <c r="E98" s="1008"/>
      <c r="F98" s="331" t="e">
        <f>F97-HHB_*COS($F$58)</f>
        <v>#DIV/0!</v>
      </c>
      <c r="G98" s="317"/>
      <c r="H98" s="324"/>
      <c r="I98" s="319"/>
      <c r="J98" s="319"/>
      <c r="K98" s="319"/>
      <c r="L98" s="319"/>
      <c r="M98" s="319"/>
      <c r="N98" s="319"/>
      <c r="O98" s="315"/>
      <c r="P98" s="319"/>
      <c r="Q98" s="319"/>
      <c r="R98" s="319"/>
      <c r="S98" s="319"/>
      <c r="T98" s="319"/>
      <c r="U98" s="319"/>
      <c r="V98" s="316"/>
      <c r="W98" s="324"/>
      <c r="X98" s="324"/>
      <c r="Y98" s="315"/>
      <c r="Z98" s="315"/>
      <c r="AA98" s="315"/>
      <c r="AB98" s="319"/>
      <c r="AC98" s="316"/>
      <c r="AD98" s="316"/>
      <c r="AE98" s="316"/>
      <c r="AF98" s="316"/>
      <c r="AG98" s="319"/>
      <c r="AH98" s="319"/>
      <c r="AI98" s="316"/>
      <c r="AJ98" s="316"/>
      <c r="AK98" s="316"/>
      <c r="AL98" s="316"/>
      <c r="AM98" s="316"/>
      <c r="AN98" s="316"/>
      <c r="AO98" s="316"/>
      <c r="AP98" s="316"/>
      <c r="AQ98" s="316"/>
      <c r="BJ98" s="329"/>
      <c r="BK98" s="329"/>
    </row>
    <row r="99" spans="1:63">
      <c r="A99" s="348" t="s">
        <v>1827</v>
      </c>
      <c r="B99" s="364" t="b">
        <f>F184</f>
        <v>0</v>
      </c>
      <c r="C99" s="364" t="b">
        <f>F186</f>
        <v>0</v>
      </c>
      <c r="D99" s="316"/>
      <c r="E99" s="1007" t="s">
        <v>1819</v>
      </c>
      <c r="F99" s="331">
        <f>LH_-J_-F18</f>
        <v>0</v>
      </c>
      <c r="G99" s="317"/>
      <c r="H99" s="324"/>
      <c r="I99" s="319"/>
      <c r="J99" s="319"/>
      <c r="K99" s="319"/>
      <c r="L99" s="319"/>
      <c r="M99" s="319"/>
      <c r="N99" s="320"/>
      <c r="O99" s="346"/>
      <c r="P99" s="320"/>
      <c r="Q99" s="319"/>
      <c r="R99" s="319"/>
      <c r="S99" s="319"/>
      <c r="T99" s="319"/>
      <c r="U99" s="316"/>
      <c r="V99" s="316"/>
      <c r="W99" s="324"/>
      <c r="X99" s="324"/>
      <c r="Y99" s="315"/>
      <c r="Z99" s="315"/>
      <c r="AA99" s="315"/>
      <c r="AB99" s="319"/>
      <c r="AC99" s="316"/>
      <c r="AD99" s="316"/>
      <c r="AE99" s="316"/>
      <c r="AF99" s="316"/>
      <c r="AG99" s="319"/>
      <c r="AH99" s="319"/>
      <c r="AI99" s="316"/>
      <c r="AJ99" s="316"/>
      <c r="AK99" s="316"/>
      <c r="AL99" s="316"/>
      <c r="AM99" s="316"/>
      <c r="AN99" s="316"/>
      <c r="AO99" s="316"/>
      <c r="AP99" s="316"/>
      <c r="AQ99" s="316"/>
      <c r="BJ99" s="329"/>
      <c r="BK99" s="329"/>
    </row>
    <row r="100" spans="1:63">
      <c r="A100" s="348"/>
      <c r="B100" s="364" t="b">
        <f>F185</f>
        <v>0</v>
      </c>
      <c r="C100" s="364" t="b">
        <f>F187</f>
        <v>0</v>
      </c>
      <c r="D100" s="316"/>
      <c r="E100" s="1011"/>
      <c r="F100" s="331">
        <f>F99</f>
        <v>0</v>
      </c>
      <c r="G100" s="317"/>
      <c r="H100" s="324"/>
      <c r="I100" s="319"/>
      <c r="J100" s="319"/>
      <c r="K100" s="319"/>
      <c r="L100" s="316"/>
      <c r="M100" s="319"/>
      <c r="N100" s="320"/>
      <c r="O100" s="354"/>
      <c r="P100" s="319"/>
      <c r="Q100" s="319"/>
      <c r="R100" s="319"/>
      <c r="S100" s="319"/>
      <c r="T100" s="319"/>
      <c r="U100" s="316"/>
      <c r="V100" s="316"/>
      <c r="W100" s="316"/>
      <c r="X100" s="319"/>
      <c r="Y100" s="319"/>
      <c r="Z100" s="319"/>
      <c r="AA100" s="319"/>
      <c r="AB100" s="319"/>
      <c r="AC100" s="316"/>
      <c r="AD100" s="316"/>
      <c r="AE100" s="316"/>
      <c r="AF100" s="316"/>
      <c r="AG100" s="319"/>
      <c r="AH100" s="319"/>
      <c r="AI100" s="316"/>
      <c r="AJ100" s="316"/>
      <c r="AK100" s="316"/>
      <c r="AL100" s="316"/>
      <c r="AM100" s="316"/>
      <c r="AN100" s="316"/>
      <c r="AO100" s="316"/>
      <c r="AP100" s="316"/>
      <c r="AQ100" s="316"/>
      <c r="BJ100" s="329"/>
      <c r="BK100" s="329"/>
    </row>
    <row r="101" spans="1:63">
      <c r="A101" s="348"/>
      <c r="B101" s="364" t="b">
        <f>F189</f>
        <v>0</v>
      </c>
      <c r="C101" s="364" t="b">
        <f>F191</f>
        <v>0</v>
      </c>
      <c r="D101" s="316"/>
      <c r="E101" s="1011"/>
      <c r="F101" s="331">
        <v>0</v>
      </c>
      <c r="G101" s="316"/>
      <c r="H101" s="316"/>
      <c r="I101" s="319"/>
      <c r="J101" s="315"/>
      <c r="K101" s="315"/>
      <c r="L101" s="315"/>
      <c r="M101" s="315"/>
      <c r="N101" s="315"/>
      <c r="O101" s="315"/>
      <c r="P101" s="319"/>
      <c r="Q101" s="315"/>
      <c r="R101" s="315"/>
      <c r="S101" s="315"/>
      <c r="T101" s="315"/>
      <c r="U101" s="316"/>
      <c r="V101" s="316"/>
      <c r="W101" s="324"/>
      <c r="X101" s="324"/>
      <c r="Y101" s="316"/>
      <c r="Z101" s="316"/>
      <c r="AA101" s="316"/>
      <c r="AB101" s="316"/>
      <c r="AC101" s="316"/>
      <c r="AD101" s="316"/>
      <c r="AE101" s="316"/>
      <c r="AF101" s="319"/>
      <c r="AG101" s="319"/>
      <c r="AH101" s="319"/>
      <c r="AI101" s="316"/>
      <c r="AJ101" s="316"/>
      <c r="AK101" s="316"/>
      <c r="AL101" s="316"/>
      <c r="AM101" s="316"/>
      <c r="AN101" s="316"/>
      <c r="AO101" s="316"/>
      <c r="AP101" s="316"/>
      <c r="AQ101" s="316"/>
      <c r="BJ101" s="329"/>
      <c r="BK101" s="329"/>
    </row>
    <row r="102" spans="1:63">
      <c r="A102" s="348"/>
      <c r="B102" s="364" t="b">
        <f>F190</f>
        <v>0</v>
      </c>
      <c r="C102" s="364" t="b">
        <f>F192</f>
        <v>0</v>
      </c>
      <c r="D102" s="316"/>
      <c r="E102" s="1011"/>
      <c r="F102" s="331">
        <f>P_+F23</f>
        <v>1.4</v>
      </c>
      <c r="G102" s="316"/>
      <c r="H102" s="316"/>
      <c r="I102" s="319"/>
      <c r="J102" s="315"/>
      <c r="K102" s="315"/>
      <c r="L102" s="315"/>
      <c r="M102" s="315"/>
      <c r="N102" s="316"/>
      <c r="O102" s="316"/>
      <c r="P102" s="319"/>
      <c r="Q102" s="319"/>
      <c r="R102" s="319"/>
      <c r="S102" s="319"/>
      <c r="T102" s="319"/>
      <c r="U102" s="316"/>
      <c r="V102" s="316"/>
      <c r="W102" s="316"/>
      <c r="X102" s="316"/>
      <c r="Y102" s="316"/>
      <c r="Z102" s="316"/>
      <c r="AA102" s="316"/>
      <c r="AB102" s="316"/>
      <c r="AC102" s="316"/>
      <c r="AD102" s="316"/>
      <c r="AE102" s="316"/>
      <c r="AF102" s="319"/>
      <c r="AG102" s="319"/>
      <c r="AH102" s="319"/>
      <c r="AI102" s="316"/>
      <c r="AJ102" s="316"/>
      <c r="AK102" s="316"/>
      <c r="AL102" s="319"/>
      <c r="AM102" s="319"/>
      <c r="AN102" s="319"/>
      <c r="AO102" s="319"/>
      <c r="AP102" s="319"/>
      <c r="AQ102" s="319"/>
      <c r="AR102" s="319"/>
      <c r="AS102" s="319"/>
      <c r="AT102" s="319"/>
      <c r="BJ102" s="329"/>
      <c r="BK102" s="329"/>
    </row>
    <row r="103" spans="1:63">
      <c r="A103" s="348" t="s">
        <v>1828</v>
      </c>
      <c r="B103" s="364" t="b">
        <f>F223</f>
        <v>0</v>
      </c>
      <c r="C103" s="364" t="b">
        <f>F224</f>
        <v>0</v>
      </c>
      <c r="D103" s="316"/>
      <c r="E103" s="1011"/>
      <c r="F103" s="331">
        <f>F99-F42</f>
        <v>0</v>
      </c>
      <c r="G103" s="316"/>
      <c r="H103" s="316"/>
      <c r="I103" s="319"/>
      <c r="J103" s="315"/>
      <c r="K103" s="315"/>
      <c r="L103" s="315"/>
      <c r="M103" s="315"/>
      <c r="N103" s="316"/>
      <c r="O103" s="316"/>
      <c r="P103" s="316"/>
      <c r="Q103" s="319"/>
      <c r="R103" s="319"/>
      <c r="S103" s="319"/>
      <c r="T103" s="319"/>
      <c r="U103" s="316"/>
      <c r="V103" s="316"/>
      <c r="W103" s="316"/>
      <c r="X103" s="316"/>
      <c r="Y103" s="316"/>
      <c r="Z103" s="316"/>
      <c r="AA103" s="316"/>
      <c r="AB103" s="316"/>
      <c r="AC103" s="316"/>
      <c r="AD103" s="316"/>
      <c r="AE103" s="316"/>
      <c r="AF103" s="319"/>
      <c r="AG103" s="319"/>
      <c r="AH103" s="319"/>
      <c r="AI103" s="316"/>
      <c r="AJ103" s="316"/>
      <c r="AK103" s="316"/>
      <c r="AL103" s="319"/>
      <c r="AM103" s="319"/>
      <c r="AN103" s="319"/>
      <c r="AO103" s="319"/>
      <c r="AP103" s="319"/>
      <c r="AQ103" s="319"/>
      <c r="AR103" s="319"/>
      <c r="AS103" s="319"/>
      <c r="AT103" s="319"/>
      <c r="BJ103" s="329"/>
      <c r="BK103" s="329"/>
    </row>
    <row r="104" spans="1:63">
      <c r="A104" s="348"/>
      <c r="B104" s="364" t="b">
        <f>F225</f>
        <v>0</v>
      </c>
      <c r="C104" s="364" t="b">
        <f>F226</f>
        <v>0</v>
      </c>
      <c r="D104" s="316"/>
      <c r="E104" s="1011"/>
      <c r="F104" s="331">
        <f>F100-F42</f>
        <v>0</v>
      </c>
      <c r="G104" s="316"/>
      <c r="H104" s="316"/>
      <c r="I104" s="319"/>
      <c r="J104" s="319"/>
      <c r="K104" s="319"/>
      <c r="L104" s="316"/>
      <c r="M104" s="316"/>
      <c r="N104" s="316"/>
      <c r="O104" s="316"/>
      <c r="P104" s="316"/>
      <c r="Q104" s="319"/>
      <c r="R104" s="319"/>
      <c r="S104" s="319"/>
      <c r="T104" s="319"/>
      <c r="U104" s="316"/>
      <c r="V104" s="316"/>
      <c r="W104" s="316"/>
      <c r="X104" s="316"/>
      <c r="Y104" s="316"/>
      <c r="Z104" s="316"/>
      <c r="AA104" s="316"/>
      <c r="AB104" s="316"/>
      <c r="AC104" s="316"/>
      <c r="AD104" s="316"/>
      <c r="AE104" s="316"/>
      <c r="AF104" s="319"/>
      <c r="AG104" s="319"/>
      <c r="AH104" s="319"/>
      <c r="AI104" s="316"/>
      <c r="AJ104" s="316"/>
      <c r="AK104" s="316"/>
      <c r="AL104" s="319"/>
      <c r="AM104" s="319"/>
      <c r="AN104" s="319"/>
      <c r="AO104" s="319"/>
      <c r="AP104" s="319"/>
      <c r="AQ104" s="319"/>
      <c r="AR104" s="319"/>
      <c r="AS104" s="319"/>
      <c r="AT104" s="319"/>
      <c r="BJ104" s="329"/>
      <c r="BK104" s="329"/>
    </row>
    <row r="105" spans="1:63">
      <c r="A105" s="348"/>
      <c r="B105" s="364" t="b">
        <f>F227</f>
        <v>0</v>
      </c>
      <c r="C105" s="364" t="b">
        <f>F228</f>
        <v>0</v>
      </c>
      <c r="D105" s="316"/>
      <c r="E105" s="1011"/>
      <c r="F105" s="331">
        <f>F101-F43</f>
        <v>0</v>
      </c>
      <c r="G105" s="316"/>
      <c r="H105" s="316"/>
      <c r="I105" s="319"/>
      <c r="J105" s="315"/>
      <c r="K105" s="315"/>
      <c r="L105" s="315"/>
      <c r="M105" s="315"/>
      <c r="N105" s="315"/>
      <c r="O105" s="315"/>
      <c r="P105" s="319"/>
      <c r="Q105" s="319"/>
      <c r="R105" s="319"/>
      <c r="S105" s="319"/>
      <c r="T105" s="319"/>
      <c r="U105" s="315"/>
      <c r="V105" s="315"/>
      <c r="W105" s="319"/>
      <c r="X105" s="319"/>
      <c r="Y105" s="319"/>
      <c r="Z105" s="319"/>
      <c r="AA105" s="319"/>
      <c r="AB105" s="319"/>
      <c r="AC105" s="319"/>
      <c r="AD105" s="319"/>
      <c r="AE105" s="319"/>
      <c r="AF105" s="319"/>
      <c r="AG105" s="319"/>
      <c r="AH105" s="319"/>
      <c r="AI105" s="316"/>
      <c r="AJ105" s="316"/>
      <c r="AK105" s="316"/>
      <c r="AL105" s="319"/>
      <c r="AM105" s="319"/>
      <c r="AN105" s="319"/>
      <c r="AO105" s="319"/>
      <c r="AP105" s="319"/>
      <c r="AQ105" s="319"/>
      <c r="AR105" s="319"/>
      <c r="AS105" s="319"/>
      <c r="AT105" s="319"/>
      <c r="BJ105" s="329"/>
      <c r="BK105" s="329"/>
    </row>
    <row r="106" spans="1:63">
      <c r="A106" s="348"/>
      <c r="B106" s="364" t="b">
        <f>F229</f>
        <v>0</v>
      </c>
      <c r="C106" s="364" t="b">
        <f>F230</f>
        <v>0</v>
      </c>
      <c r="D106" s="316"/>
      <c r="E106" s="1011"/>
      <c r="F106" s="331">
        <f>F102-F43</f>
        <v>1.4</v>
      </c>
      <c r="G106" s="316"/>
      <c r="H106" s="316"/>
      <c r="I106" s="324"/>
      <c r="J106" s="319"/>
      <c r="K106" s="319"/>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9"/>
      <c r="AM106" s="319"/>
      <c r="AN106" s="319"/>
      <c r="AO106" s="319"/>
      <c r="AP106" s="319"/>
      <c r="AQ106" s="319"/>
      <c r="AR106" s="319"/>
      <c r="AS106" s="319"/>
      <c r="AT106" s="319"/>
      <c r="BJ106" s="329"/>
      <c r="BK106" s="329"/>
    </row>
    <row r="107" spans="1:63">
      <c r="A107" s="348"/>
      <c r="B107" s="364" t="b">
        <f>F231</f>
        <v>0</v>
      </c>
      <c r="C107" s="364" t="b">
        <f>F232</f>
        <v>0</v>
      </c>
      <c r="D107" s="316"/>
      <c r="E107" s="1011"/>
      <c r="F107" s="331">
        <f>F103*COS(F44)-F105*SIN(F44)+F42</f>
        <v>0</v>
      </c>
      <c r="G107" s="316"/>
      <c r="H107" s="316"/>
      <c r="I107" s="324"/>
      <c r="J107" s="319"/>
      <c r="K107" s="319"/>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c r="AK107" s="316"/>
      <c r="AL107" s="319"/>
      <c r="AM107" s="319"/>
      <c r="AN107" s="319"/>
      <c r="AO107" s="319"/>
      <c r="AP107" s="319"/>
      <c r="AQ107" s="319"/>
      <c r="AR107" s="319"/>
      <c r="AS107" s="319"/>
      <c r="AT107" s="319"/>
      <c r="BJ107" s="329"/>
      <c r="BK107" s="329"/>
    </row>
    <row r="108" spans="1:63">
      <c r="A108" s="348"/>
      <c r="B108" s="364" t="b">
        <f>F233</f>
        <v>0</v>
      </c>
      <c r="C108" s="364" t="b">
        <f>F234</f>
        <v>0</v>
      </c>
      <c r="D108" s="316"/>
      <c r="E108" s="1011"/>
      <c r="F108" s="331">
        <f>F103*SIN(F44)+F105*COS(F44)+F43</f>
        <v>0</v>
      </c>
      <c r="H108" s="316"/>
      <c r="I108" s="324"/>
      <c r="J108" s="319"/>
      <c r="K108" s="319"/>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9"/>
      <c r="AM108" s="319"/>
      <c r="AN108" s="319"/>
      <c r="AO108" s="319"/>
      <c r="AP108" s="319"/>
      <c r="AQ108" s="319"/>
      <c r="AR108" s="319"/>
      <c r="AS108" s="319"/>
      <c r="AT108" s="319"/>
      <c r="BJ108" s="329"/>
      <c r="BK108" s="329"/>
    </row>
    <row r="109" spans="1:63">
      <c r="A109" s="339" t="s">
        <v>2555</v>
      </c>
      <c r="B109" s="364" t="e">
        <f>F87</f>
        <v>#DIV/0!</v>
      </c>
      <c r="C109" s="364" t="e">
        <f>F89</f>
        <v>#DIV/0!</v>
      </c>
      <c r="D109" s="316"/>
      <c r="E109" s="1011"/>
      <c r="F109" s="331">
        <f>F104*COS(F44)-F106*SIN(F44)+F42</f>
        <v>-3.6647727631022406E-2</v>
      </c>
      <c r="G109" s="316"/>
      <c r="H109" s="316"/>
      <c r="I109" s="324"/>
      <c r="J109" s="319"/>
      <c r="K109" s="319"/>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9"/>
      <c r="AM109" s="319"/>
      <c r="AN109" s="319"/>
      <c r="AO109" s="319"/>
      <c r="AP109" s="319"/>
      <c r="AQ109" s="319"/>
      <c r="AR109" s="319"/>
      <c r="AS109" s="319"/>
      <c r="AT109" s="319"/>
      <c r="BJ109" s="329"/>
      <c r="BK109" s="329"/>
    </row>
    <row r="110" spans="1:63">
      <c r="A110" s="339"/>
      <c r="B110" s="364" t="e">
        <f>F88</f>
        <v>#DIV/0!</v>
      </c>
      <c r="C110" s="364" t="e">
        <f>F90</f>
        <v>#DIV/0!</v>
      </c>
      <c r="D110" s="316"/>
      <c r="E110" s="1011"/>
      <c r="F110" s="331">
        <f>F104*SIN(F44)+F106*COS(F44)+F43</f>
        <v>1.3995202549657801</v>
      </c>
      <c r="G110" s="316"/>
      <c r="H110" s="316"/>
      <c r="I110" s="324"/>
      <c r="J110" s="319"/>
      <c r="K110" s="319"/>
      <c r="L110" s="316"/>
      <c r="M110" s="316"/>
      <c r="N110" s="316"/>
      <c r="O110" s="316"/>
      <c r="P110" s="316"/>
      <c r="Q110" s="316"/>
      <c r="R110" s="316"/>
      <c r="S110" s="316"/>
      <c r="T110" s="316"/>
      <c r="U110" s="316"/>
      <c r="V110" s="316"/>
      <c r="W110" s="316"/>
      <c r="X110" s="316"/>
      <c r="Y110" s="316"/>
      <c r="Z110" s="316"/>
      <c r="AA110" s="316"/>
      <c r="AB110" s="316"/>
      <c r="AC110" s="316"/>
      <c r="AD110" s="316"/>
      <c r="AE110" s="316"/>
      <c r="AF110" s="316"/>
      <c r="AG110" s="316"/>
      <c r="AH110" s="316"/>
      <c r="AI110" s="316"/>
      <c r="AJ110" s="316"/>
      <c r="AK110" s="316"/>
      <c r="AL110" s="319"/>
      <c r="AM110" s="319"/>
      <c r="AN110" s="319"/>
      <c r="AO110" s="319"/>
      <c r="AP110" s="319"/>
      <c r="AQ110" s="319"/>
      <c r="AR110" s="319"/>
      <c r="AS110" s="319"/>
      <c r="AT110" s="319"/>
      <c r="BJ110" s="329"/>
      <c r="BK110" s="329"/>
    </row>
    <row r="111" spans="1:63">
      <c r="A111" s="339" t="s">
        <v>188</v>
      </c>
      <c r="B111" s="366">
        <f>LL_*0.008</f>
        <v>0</v>
      </c>
      <c r="C111" s="320"/>
      <c r="D111" s="316"/>
      <c r="E111" s="1010" t="s">
        <v>1820</v>
      </c>
      <c r="F111" s="331">
        <f>F103-F25</f>
        <v>-0.1</v>
      </c>
      <c r="G111" s="316"/>
      <c r="H111" s="316"/>
      <c r="I111" s="324"/>
      <c r="J111" s="319"/>
      <c r="K111" s="319"/>
      <c r="L111" s="316"/>
      <c r="M111" s="316"/>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9"/>
      <c r="AM111" s="319"/>
      <c r="AN111" s="319"/>
      <c r="AO111" s="319"/>
      <c r="AP111" s="319"/>
      <c r="AQ111" s="319"/>
      <c r="AR111" s="319"/>
      <c r="AS111" s="319"/>
      <c r="AT111" s="319"/>
      <c r="BJ111" s="329"/>
      <c r="BK111" s="329"/>
    </row>
    <row r="112" spans="1:63">
      <c r="D112" s="316"/>
      <c r="E112" s="1011"/>
      <c r="F112" s="331">
        <f>F111</f>
        <v>-0.1</v>
      </c>
      <c r="G112" s="316"/>
      <c r="H112" s="316"/>
      <c r="I112" s="324"/>
      <c r="J112" s="319"/>
      <c r="K112" s="319"/>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6"/>
      <c r="AK112" s="316"/>
      <c r="AL112" s="319"/>
      <c r="AM112" s="319"/>
      <c r="AN112" s="319"/>
      <c r="AO112" s="319"/>
      <c r="AP112" s="319"/>
      <c r="AQ112" s="319"/>
      <c r="AR112" s="319"/>
      <c r="AS112" s="319"/>
      <c r="AT112" s="319"/>
      <c r="BJ112" s="329"/>
      <c r="BK112" s="329"/>
    </row>
    <row r="113" spans="1:71">
      <c r="D113" s="316"/>
      <c r="E113" s="1011"/>
      <c r="F113" s="331">
        <f>F105</f>
        <v>0</v>
      </c>
      <c r="G113" s="316"/>
      <c r="H113" s="316"/>
      <c r="I113" s="324"/>
      <c r="J113" s="319"/>
      <c r="K113" s="319"/>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9"/>
      <c r="AM113" s="319"/>
      <c r="AN113" s="319"/>
      <c r="AO113" s="319"/>
      <c r="AP113" s="319"/>
      <c r="AQ113" s="319"/>
      <c r="AR113" s="319"/>
      <c r="AS113" s="319"/>
      <c r="AT113" s="319"/>
      <c r="BJ113" s="329"/>
      <c r="BK113" s="329"/>
    </row>
    <row r="114" spans="1:71">
      <c r="D114" s="316"/>
      <c r="E114" s="1011"/>
      <c r="F114" s="331">
        <f>F106</f>
        <v>1.4</v>
      </c>
      <c r="G114" s="316"/>
      <c r="H114" s="316"/>
      <c r="I114" s="324"/>
      <c r="J114" s="319"/>
      <c r="K114" s="319"/>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9"/>
      <c r="AM114" s="319"/>
      <c r="AN114" s="319"/>
      <c r="AO114" s="319"/>
      <c r="AP114" s="319"/>
      <c r="AQ114" s="319"/>
      <c r="AR114" s="319"/>
      <c r="AS114" s="319"/>
      <c r="AT114" s="319"/>
      <c r="BJ114" s="329"/>
      <c r="BK114" s="329"/>
    </row>
    <row r="115" spans="1:71">
      <c r="D115" s="316"/>
      <c r="E115" s="1011"/>
      <c r="F115" s="331">
        <f>F111*COS(F44)-F113*SIN(F44)+F42</f>
        <v>-9.9965732497555734E-2</v>
      </c>
      <c r="G115" s="316"/>
      <c r="H115" s="316"/>
      <c r="I115" s="316"/>
      <c r="J115" s="319"/>
      <c r="K115" s="319"/>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9"/>
      <c r="AM115" s="319"/>
      <c r="AN115" s="319"/>
      <c r="AO115" s="319"/>
      <c r="AP115" s="319"/>
      <c r="AQ115" s="319"/>
      <c r="AR115" s="319"/>
      <c r="AS115" s="319"/>
      <c r="AT115" s="319"/>
      <c r="BJ115" s="329"/>
      <c r="BK115" s="329"/>
    </row>
    <row r="116" spans="1:71">
      <c r="D116" s="316"/>
      <c r="E116" s="1011"/>
      <c r="F116" s="331">
        <f>F111*SIN(F44)+F113*COS(F44)+F43</f>
        <v>-2.6176948307873151E-3</v>
      </c>
      <c r="G116" s="319"/>
      <c r="H116" s="315"/>
      <c r="I116" s="315"/>
      <c r="J116" s="319"/>
      <c r="K116" s="319"/>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6"/>
      <c r="AI116" s="316"/>
      <c r="AJ116" s="316"/>
      <c r="AK116" s="316"/>
      <c r="AL116" s="319"/>
      <c r="AM116" s="319"/>
      <c r="AN116" s="319"/>
      <c r="AO116" s="319"/>
      <c r="AP116" s="319"/>
      <c r="AQ116" s="319"/>
      <c r="AR116" s="319"/>
      <c r="AS116" s="319"/>
      <c r="AT116" s="319"/>
      <c r="BJ116" s="329"/>
      <c r="BK116" s="329"/>
    </row>
    <row r="117" spans="1:71">
      <c r="D117" s="367"/>
      <c r="E117" s="1011"/>
      <c r="F117" s="331">
        <f>F112*COS(F44)-F114*SIN(F44)+F42</f>
        <v>-0.13661346012857814</v>
      </c>
      <c r="G117" s="320"/>
      <c r="H117" s="320"/>
      <c r="I117" s="320"/>
      <c r="K117" s="316"/>
      <c r="L117" s="319"/>
      <c r="M117" s="315"/>
      <c r="N117" s="315"/>
      <c r="O117" s="319"/>
      <c r="P117" s="315"/>
      <c r="Q117" s="315"/>
      <c r="R117" s="319"/>
      <c r="S117" s="319"/>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9"/>
      <c r="AU117" s="319"/>
      <c r="AV117" s="319"/>
      <c r="AW117" s="319"/>
      <c r="AX117" s="319"/>
      <c r="AY117" s="319"/>
      <c r="AZ117" s="319"/>
      <c r="BA117" s="319"/>
      <c r="BB117" s="319"/>
      <c r="BR117" s="329"/>
      <c r="BS117" s="329"/>
    </row>
    <row r="118" spans="1:71">
      <c r="E118" s="1011"/>
      <c r="F118" s="331">
        <f>F112*SIN(F44)+F114*COS(F44)+F43</f>
        <v>1.3969025601349929</v>
      </c>
      <c r="K118" s="316"/>
      <c r="L118" s="316"/>
      <c r="M118" s="315"/>
      <c r="N118" s="315"/>
      <c r="O118" s="319"/>
      <c r="P118" s="315"/>
      <c r="Q118" s="315"/>
      <c r="R118" s="319"/>
      <c r="S118" s="319"/>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9"/>
      <c r="AU118" s="319"/>
      <c r="AV118" s="319"/>
      <c r="AW118" s="319"/>
      <c r="AX118" s="319"/>
      <c r="AY118" s="319"/>
      <c r="AZ118" s="319"/>
      <c r="BA118" s="319"/>
      <c r="BB118" s="319"/>
      <c r="BD118" s="329"/>
      <c r="BE118" s="329"/>
      <c r="BF118" s="329"/>
      <c r="BG118" s="329"/>
      <c r="BH118" s="329"/>
      <c r="BI118" s="329"/>
      <c r="BJ118" s="329"/>
      <c r="BK118" s="329"/>
      <c r="BL118" s="329"/>
      <c r="BM118" s="329"/>
      <c r="BN118" s="329"/>
      <c r="BO118" s="329"/>
      <c r="BP118" s="329"/>
      <c r="BQ118" s="329"/>
      <c r="BR118" s="329"/>
      <c r="BS118" s="329"/>
    </row>
    <row r="119" spans="1:71">
      <c r="A119" s="316"/>
      <c r="B119" s="316"/>
      <c r="C119" s="316"/>
      <c r="E119" s="1002" t="s">
        <v>1829</v>
      </c>
      <c r="F119" s="331">
        <f>F111</f>
        <v>-0.1</v>
      </c>
      <c r="K119" s="316"/>
      <c r="L119" s="319"/>
      <c r="M119" s="315"/>
      <c r="N119" s="315"/>
      <c r="O119" s="316"/>
      <c r="P119" s="315"/>
      <c r="Q119" s="315"/>
      <c r="R119" s="319"/>
      <c r="S119" s="319"/>
      <c r="T119" s="316"/>
      <c r="U119" s="316"/>
      <c r="V119" s="316"/>
      <c r="W119" s="316"/>
      <c r="X119" s="316"/>
      <c r="Y119" s="316"/>
      <c r="Z119" s="316"/>
      <c r="AA119" s="316"/>
      <c r="AB119" s="316"/>
      <c r="AC119" s="316"/>
      <c r="AD119" s="316"/>
      <c r="AE119" s="316"/>
      <c r="AF119" s="316"/>
      <c r="AG119" s="316"/>
      <c r="AH119" s="316"/>
      <c r="AI119" s="316"/>
      <c r="AJ119" s="316"/>
      <c r="AK119" s="316"/>
      <c r="AL119" s="316"/>
      <c r="AM119" s="316"/>
      <c r="AN119" s="316"/>
      <c r="AO119" s="316"/>
      <c r="AP119" s="316"/>
      <c r="AQ119" s="316"/>
      <c r="AR119" s="316"/>
      <c r="AS119" s="316"/>
      <c r="AT119" s="319"/>
      <c r="AU119" s="319"/>
      <c r="AV119" s="319"/>
      <c r="AW119" s="319"/>
      <c r="AX119" s="319"/>
      <c r="AY119" s="319"/>
      <c r="AZ119" s="319"/>
      <c r="BA119" s="319"/>
      <c r="BB119" s="319"/>
      <c r="BD119" s="329"/>
      <c r="BE119" s="329"/>
      <c r="BF119" s="329"/>
      <c r="BG119" s="329"/>
      <c r="BH119" s="329"/>
      <c r="BI119" s="329"/>
      <c r="BJ119" s="329"/>
      <c r="BK119" s="329"/>
      <c r="BL119" s="329"/>
      <c r="BM119" s="329"/>
      <c r="BN119" s="329"/>
      <c r="BO119" s="329"/>
      <c r="BP119" s="329"/>
      <c r="BQ119" s="329"/>
      <c r="BR119" s="329"/>
      <c r="BS119" s="329"/>
    </row>
    <row r="120" spans="1:71">
      <c r="A120" s="316"/>
      <c r="B120" s="316"/>
      <c r="C120" s="316"/>
      <c r="E120" s="1003"/>
      <c r="F120" s="331">
        <f>F23+F113</f>
        <v>1.4</v>
      </c>
      <c r="K120" s="316"/>
      <c r="L120" s="316"/>
      <c r="M120" s="315"/>
      <c r="N120" s="315"/>
      <c r="O120" s="319"/>
      <c r="P120" s="315"/>
      <c r="Q120" s="315"/>
      <c r="R120" s="319"/>
      <c r="S120" s="319"/>
      <c r="T120" s="316"/>
      <c r="U120" s="316"/>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9"/>
      <c r="AU120" s="319"/>
      <c r="AV120" s="319"/>
      <c r="AW120" s="319"/>
      <c r="AX120" s="319"/>
      <c r="AY120" s="319"/>
      <c r="AZ120" s="319"/>
      <c r="BA120" s="319"/>
      <c r="BB120" s="319"/>
    </row>
    <row r="121" spans="1:71">
      <c r="A121" s="316"/>
      <c r="B121" s="316"/>
      <c r="C121" s="316"/>
      <c r="E121" s="1003"/>
      <c r="F121" s="331">
        <f>F119-E_</f>
        <v>-0.1</v>
      </c>
      <c r="K121" s="316"/>
      <c r="L121" s="319"/>
      <c r="M121" s="315"/>
      <c r="N121" s="315"/>
      <c r="O121" s="316"/>
      <c r="P121" s="315"/>
      <c r="Q121" s="315"/>
      <c r="R121" s="319"/>
      <c r="S121" s="319"/>
      <c r="T121" s="316"/>
      <c r="U121" s="316"/>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9"/>
      <c r="AU121" s="319"/>
      <c r="AV121" s="319"/>
      <c r="AW121" s="319"/>
      <c r="AX121" s="319"/>
      <c r="AY121" s="319"/>
      <c r="AZ121" s="319"/>
      <c r="BA121" s="319"/>
      <c r="BB121" s="319"/>
    </row>
    <row r="122" spans="1:71">
      <c r="A122" s="316"/>
      <c r="B122" s="316"/>
      <c r="C122" s="316"/>
      <c r="E122" s="1003"/>
      <c r="F122" s="331">
        <f>F120</f>
        <v>1.4</v>
      </c>
      <c r="K122" s="316"/>
      <c r="L122" s="316"/>
      <c r="M122" s="315"/>
      <c r="N122" s="315"/>
      <c r="O122" s="319"/>
      <c r="P122" s="315"/>
      <c r="Q122" s="315"/>
      <c r="R122" s="319"/>
      <c r="S122" s="319"/>
      <c r="T122" s="316"/>
      <c r="U122" s="316"/>
      <c r="V122" s="316"/>
      <c r="W122" s="316"/>
      <c r="X122" s="316"/>
      <c r="Y122" s="316"/>
      <c r="Z122" s="316"/>
      <c r="AA122" s="316"/>
      <c r="AB122" s="316"/>
      <c r="AC122" s="316"/>
      <c r="AD122" s="316"/>
      <c r="AE122" s="316"/>
      <c r="AF122" s="316"/>
      <c r="AG122" s="316"/>
      <c r="AH122" s="316"/>
      <c r="AI122" s="316"/>
      <c r="AJ122" s="316"/>
      <c r="AK122" s="316"/>
      <c r="AL122" s="316"/>
      <c r="AM122" s="316"/>
      <c r="AN122" s="316"/>
      <c r="AO122" s="316"/>
      <c r="AP122" s="316"/>
      <c r="AQ122" s="316"/>
      <c r="AR122" s="316"/>
      <c r="AS122" s="316"/>
      <c r="AT122" s="319"/>
      <c r="AU122" s="319"/>
      <c r="AV122" s="319"/>
      <c r="AW122" s="319"/>
      <c r="AX122" s="319"/>
      <c r="AY122" s="319"/>
      <c r="AZ122" s="319"/>
      <c r="BA122" s="319"/>
      <c r="BB122" s="319"/>
    </row>
    <row r="123" spans="1:71">
      <c r="A123" s="316"/>
      <c r="B123" s="316"/>
      <c r="C123" s="316"/>
      <c r="E123" s="1003"/>
      <c r="F123" s="331">
        <f>F119*COS($F$44)-F120*SIN($F$44)+$F$42</f>
        <v>-0.13661346012857814</v>
      </c>
      <c r="K123" s="316"/>
      <c r="L123" s="316"/>
      <c r="M123" s="316"/>
      <c r="N123" s="316"/>
      <c r="O123" s="316"/>
      <c r="P123" s="315"/>
      <c r="Q123" s="315"/>
      <c r="R123" s="319"/>
      <c r="S123" s="319"/>
      <c r="T123" s="316"/>
      <c r="U123" s="316"/>
      <c r="V123" s="316"/>
      <c r="W123" s="316"/>
      <c r="X123" s="316"/>
      <c r="Y123" s="316"/>
      <c r="Z123" s="316"/>
      <c r="AA123" s="316"/>
      <c r="AB123" s="316"/>
      <c r="AC123" s="316"/>
      <c r="AD123" s="316"/>
      <c r="AE123" s="316"/>
      <c r="AF123" s="316"/>
      <c r="AG123" s="316"/>
      <c r="AH123" s="316"/>
      <c r="AI123" s="316"/>
      <c r="AJ123" s="316"/>
      <c r="AK123" s="316"/>
      <c r="AL123" s="316"/>
      <c r="AM123" s="316"/>
      <c r="AN123" s="316"/>
      <c r="AO123" s="316"/>
      <c r="AP123" s="316"/>
      <c r="AQ123" s="316"/>
      <c r="AR123" s="316"/>
      <c r="AS123" s="316"/>
      <c r="AT123" s="319"/>
      <c r="AU123" s="319"/>
      <c r="AV123" s="319"/>
      <c r="AW123" s="319"/>
      <c r="AX123" s="319"/>
      <c r="AY123" s="319"/>
      <c r="AZ123" s="319"/>
      <c r="BA123" s="319"/>
      <c r="BB123" s="319"/>
    </row>
    <row r="124" spans="1:71">
      <c r="A124" s="368"/>
      <c r="B124" s="369"/>
      <c r="C124" s="369"/>
      <c r="E124" s="1003"/>
      <c r="F124" s="331">
        <f>F119*SIN($F$44)+F120*COS($F$44)+$F$43</f>
        <v>1.3969025601349929</v>
      </c>
      <c r="K124" s="316"/>
      <c r="L124" s="317"/>
      <c r="M124" s="316"/>
      <c r="N124" s="316"/>
      <c r="O124" s="319"/>
      <c r="P124" s="315"/>
      <c r="Q124" s="316"/>
      <c r="R124" s="319"/>
      <c r="S124" s="319"/>
      <c r="T124" s="316"/>
      <c r="U124" s="316"/>
      <c r="V124" s="316"/>
      <c r="W124" s="316"/>
      <c r="X124" s="316"/>
      <c r="Y124" s="316"/>
      <c r="Z124" s="316"/>
      <c r="AA124" s="316"/>
      <c r="AB124" s="316"/>
      <c r="AC124" s="316"/>
      <c r="AD124" s="316"/>
      <c r="AE124" s="316"/>
      <c r="AF124" s="316"/>
      <c r="AG124" s="316"/>
      <c r="AH124" s="316"/>
      <c r="AI124" s="316"/>
      <c r="AJ124" s="316"/>
      <c r="AK124" s="316"/>
      <c r="AL124" s="316"/>
      <c r="AM124" s="316"/>
      <c r="AN124" s="316"/>
      <c r="AO124" s="316"/>
      <c r="AP124" s="316"/>
      <c r="AQ124" s="316"/>
      <c r="AR124" s="316"/>
      <c r="AS124" s="316"/>
      <c r="AT124" s="319"/>
      <c r="AU124" s="319"/>
      <c r="AV124" s="319"/>
      <c r="AW124" s="319"/>
      <c r="AX124" s="319"/>
      <c r="AY124" s="319"/>
      <c r="AZ124" s="319"/>
      <c r="BA124" s="319"/>
      <c r="BB124" s="319"/>
    </row>
    <row r="125" spans="1:71">
      <c r="A125" s="316"/>
      <c r="B125" s="316"/>
      <c r="C125" s="316"/>
      <c r="D125" s="328"/>
      <c r="E125" s="1003"/>
      <c r="F125" s="331">
        <f>F121*COS($F$44)-F122*SIN($F$44)+$F$42</f>
        <v>-0.13661346012857814</v>
      </c>
      <c r="G125" s="316"/>
      <c r="H125" s="316"/>
      <c r="I125" s="316"/>
      <c r="J125" s="316"/>
      <c r="K125" s="316"/>
      <c r="L125" s="317"/>
      <c r="M125" s="316"/>
      <c r="N125" s="316"/>
      <c r="O125" s="316"/>
      <c r="P125" s="316"/>
      <c r="Q125" s="316"/>
      <c r="R125" s="319"/>
      <c r="S125" s="319"/>
      <c r="T125" s="316"/>
      <c r="U125" s="316"/>
      <c r="V125" s="316"/>
      <c r="W125" s="316"/>
      <c r="X125" s="316"/>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9"/>
      <c r="AU125" s="319"/>
      <c r="AV125" s="319"/>
      <c r="AW125" s="319"/>
      <c r="AX125" s="319"/>
      <c r="AY125" s="319"/>
      <c r="AZ125" s="319"/>
      <c r="BA125" s="319"/>
      <c r="BB125" s="319"/>
    </row>
    <row r="126" spans="1:71">
      <c r="A126" s="316"/>
      <c r="B126" s="316"/>
      <c r="C126" s="316"/>
      <c r="D126" s="328"/>
      <c r="E126" s="1004"/>
      <c r="F126" s="331">
        <f>F121*SIN($F$44)+F122*COS($F$44)+$F$43</f>
        <v>1.3969025601349929</v>
      </c>
      <c r="G126" s="316"/>
      <c r="H126" s="316"/>
      <c r="I126" s="316"/>
      <c r="J126" s="316"/>
      <c r="K126" s="316"/>
      <c r="L126" s="317"/>
      <c r="M126" s="316"/>
      <c r="N126" s="316"/>
      <c r="O126" s="316"/>
      <c r="P126" s="316"/>
      <c r="Q126" s="324"/>
      <c r="R126" s="319"/>
      <c r="S126" s="319"/>
      <c r="T126" s="316"/>
      <c r="U126" s="316"/>
      <c r="V126" s="316"/>
      <c r="W126" s="316"/>
      <c r="X126" s="316"/>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9"/>
      <c r="AU126" s="319"/>
      <c r="AV126" s="319"/>
      <c r="AW126" s="319"/>
      <c r="AX126" s="319"/>
      <c r="AY126" s="319"/>
      <c r="AZ126" s="319"/>
      <c r="BA126" s="319"/>
      <c r="BB126" s="319"/>
    </row>
    <row r="127" spans="1:71">
      <c r="A127" s="316"/>
      <c r="B127" s="316"/>
      <c r="C127" s="316"/>
      <c r="D127" s="328"/>
      <c r="E127" s="1002" t="s">
        <v>1830</v>
      </c>
      <c r="F127" s="331">
        <f>F119</f>
        <v>-0.1</v>
      </c>
      <c r="G127" s="316"/>
      <c r="H127" s="316"/>
      <c r="I127" s="316"/>
      <c r="J127" s="316"/>
      <c r="K127" s="316"/>
      <c r="L127" s="316"/>
      <c r="M127" s="316"/>
      <c r="N127" s="324"/>
      <c r="O127" s="317"/>
      <c r="P127" s="316"/>
      <c r="Q127" s="324"/>
      <c r="R127" s="319"/>
      <c r="S127" s="319"/>
      <c r="T127" s="316"/>
      <c r="U127" s="316"/>
      <c r="V127" s="316"/>
      <c r="W127" s="316"/>
      <c r="X127" s="316"/>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9"/>
      <c r="AU127" s="319"/>
      <c r="AV127" s="319"/>
      <c r="AW127" s="319"/>
      <c r="AX127" s="319"/>
      <c r="AY127" s="319"/>
      <c r="AZ127" s="319"/>
      <c r="BA127" s="319"/>
      <c r="BB127" s="319"/>
    </row>
    <row r="128" spans="1:71">
      <c r="A128" s="316"/>
      <c r="B128" s="316"/>
      <c r="C128" s="316"/>
      <c r="D128" s="328"/>
      <c r="E128" s="1005"/>
      <c r="F128" s="331">
        <f>F120-F39</f>
        <v>1.2999999999999998</v>
      </c>
      <c r="G128" s="316"/>
      <c r="H128" s="316"/>
      <c r="I128" s="316"/>
      <c r="J128" s="316"/>
      <c r="K128" s="316"/>
      <c r="L128" s="317"/>
      <c r="M128" s="315"/>
      <c r="N128" s="324"/>
      <c r="O128" s="317"/>
      <c r="P128" s="316"/>
      <c r="Q128" s="315"/>
      <c r="R128" s="319"/>
      <c r="S128" s="319"/>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9"/>
      <c r="AU128" s="319"/>
      <c r="AV128" s="319"/>
      <c r="AW128" s="319"/>
      <c r="AX128" s="319"/>
      <c r="AY128" s="319"/>
      <c r="AZ128" s="319"/>
      <c r="BA128" s="319"/>
      <c r="BB128" s="319"/>
    </row>
    <row r="129" spans="2:54">
      <c r="B129" s="316"/>
      <c r="C129" s="316"/>
      <c r="D129" s="328"/>
      <c r="E129" s="1005"/>
      <c r="F129" s="331">
        <f>F121</f>
        <v>-0.1</v>
      </c>
      <c r="G129" s="316"/>
      <c r="H129" s="316"/>
      <c r="I129" s="316"/>
      <c r="J129" s="316"/>
      <c r="K129" s="316"/>
      <c r="L129" s="319"/>
      <c r="M129" s="315"/>
      <c r="N129" s="315"/>
      <c r="O129" s="316"/>
      <c r="P129" s="316"/>
      <c r="Q129" s="324"/>
      <c r="R129" s="319"/>
      <c r="S129" s="319"/>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9"/>
      <c r="AU129" s="319"/>
      <c r="AV129" s="319"/>
      <c r="AW129" s="319"/>
      <c r="AX129" s="319"/>
      <c r="AY129" s="319"/>
      <c r="AZ129" s="319"/>
      <c r="BA129" s="319"/>
      <c r="BB129" s="319"/>
    </row>
    <row r="130" spans="2:54">
      <c r="B130" s="316"/>
      <c r="C130" s="316"/>
      <c r="D130" s="370"/>
      <c r="E130" s="1005"/>
      <c r="F130" s="331">
        <f>F128</f>
        <v>1.2999999999999998</v>
      </c>
      <c r="G130" s="369"/>
      <c r="H130" s="369"/>
      <c r="I130" s="369"/>
      <c r="J130" s="369"/>
      <c r="K130" s="316"/>
      <c r="L130" s="319"/>
      <c r="M130" s="315"/>
      <c r="N130" s="315"/>
      <c r="O130" s="316"/>
      <c r="P130" s="316"/>
      <c r="Q130" s="324"/>
      <c r="R130" s="319"/>
      <c r="S130" s="319"/>
      <c r="T130" s="316"/>
      <c r="U130" s="316"/>
      <c r="V130" s="316"/>
      <c r="W130" s="316"/>
      <c r="X130" s="316"/>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c r="AX130" s="316"/>
      <c r="AY130" s="316"/>
    </row>
    <row r="131" spans="2:54">
      <c r="B131" s="316"/>
      <c r="C131" s="316"/>
      <c r="D131" s="328"/>
      <c r="E131" s="1005"/>
      <c r="F131" s="331">
        <f>F127*COS($F$44)-F128*SIN($F$44)+$F$42</f>
        <v>-0.13399576529779084</v>
      </c>
      <c r="G131" s="316"/>
      <c r="H131" s="316"/>
      <c r="I131" s="316"/>
      <c r="J131" s="316"/>
      <c r="K131" s="316"/>
      <c r="L131" s="319"/>
      <c r="M131" s="315"/>
      <c r="N131" s="315"/>
      <c r="O131" s="316"/>
      <c r="P131" s="316"/>
      <c r="Q131" s="324"/>
      <c r="R131" s="319"/>
      <c r="S131" s="319"/>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6"/>
    </row>
    <row r="132" spans="2:54">
      <c r="B132" s="316"/>
      <c r="C132" s="316"/>
      <c r="D132" s="328"/>
      <c r="E132" s="1005"/>
      <c r="F132" s="331">
        <f>F127*SIN($F$44)+F128*COS($F$44)+$F$43</f>
        <v>1.2969368276374371</v>
      </c>
      <c r="G132" s="316"/>
      <c r="H132" s="316"/>
      <c r="I132" s="316"/>
      <c r="J132" s="316"/>
      <c r="K132" s="316"/>
      <c r="L132" s="316"/>
      <c r="M132" s="316"/>
      <c r="N132" s="316"/>
      <c r="O132" s="316"/>
      <c r="P132" s="316"/>
      <c r="Q132" s="324"/>
      <c r="R132" s="319"/>
      <c r="S132" s="319"/>
      <c r="T132" s="316"/>
      <c r="U132" s="316"/>
      <c r="V132" s="316"/>
      <c r="W132" s="316"/>
      <c r="X132" s="316"/>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c r="AX132" s="316"/>
      <c r="AY132" s="316"/>
    </row>
    <row r="133" spans="2:54">
      <c r="B133" s="316"/>
      <c r="C133" s="316"/>
      <c r="D133" s="328"/>
      <c r="E133" s="1005"/>
      <c r="F133" s="331">
        <f>F129*COS($F$44)-F130*SIN($F$44)+$F$42</f>
        <v>-0.13399576529779084</v>
      </c>
      <c r="G133" s="316"/>
      <c r="H133" s="316"/>
      <c r="I133" s="316"/>
      <c r="J133" s="316"/>
      <c r="K133" s="316"/>
      <c r="L133" s="317"/>
      <c r="M133" s="317"/>
      <c r="N133" s="317"/>
      <c r="O133" s="319"/>
      <c r="P133" s="316"/>
      <c r="Q133" s="324"/>
      <c r="R133" s="319"/>
      <c r="S133" s="319"/>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6"/>
    </row>
    <row r="134" spans="2:54">
      <c r="B134" s="316"/>
      <c r="C134" s="316"/>
      <c r="D134" s="328"/>
      <c r="E134" s="1006"/>
      <c r="F134" s="331">
        <f>F129*SIN($F$44)+F130*COS($F$44)+$F$43</f>
        <v>1.2969368276374371</v>
      </c>
      <c r="G134" s="316"/>
      <c r="H134" s="316"/>
      <c r="I134" s="316"/>
      <c r="J134" s="316"/>
      <c r="K134" s="316"/>
      <c r="L134" s="319"/>
      <c r="M134" s="315"/>
      <c r="N134" s="315"/>
      <c r="O134" s="319"/>
      <c r="P134" s="324"/>
      <c r="Q134" s="324"/>
      <c r="R134" s="319"/>
      <c r="S134" s="319"/>
      <c r="T134" s="316"/>
      <c r="U134" s="316"/>
      <c r="V134" s="316"/>
      <c r="W134" s="316"/>
      <c r="X134" s="316"/>
      <c r="Y134" s="316"/>
      <c r="Z134" s="316"/>
      <c r="AA134" s="316"/>
      <c r="AB134" s="316"/>
      <c r="AC134" s="316"/>
      <c r="AD134" s="316"/>
      <c r="AE134" s="316"/>
      <c r="AF134" s="316"/>
      <c r="AG134" s="316"/>
      <c r="AH134" s="316"/>
      <c r="AI134" s="316"/>
      <c r="AJ134" s="316"/>
      <c r="AK134" s="316"/>
      <c r="AL134" s="316"/>
      <c r="AM134" s="316"/>
      <c r="AN134" s="316"/>
      <c r="AO134" s="316"/>
      <c r="AP134" s="316"/>
      <c r="AQ134" s="316"/>
      <c r="AR134" s="316"/>
      <c r="AS134" s="316"/>
      <c r="AT134" s="316"/>
      <c r="AU134" s="316"/>
      <c r="AV134" s="316"/>
      <c r="AW134" s="316"/>
      <c r="AX134" s="316"/>
      <c r="AY134" s="316"/>
    </row>
    <row r="135" spans="2:54">
      <c r="B135" s="316"/>
      <c r="C135" s="316"/>
      <c r="D135" s="328"/>
      <c r="E135" s="1002" t="s">
        <v>1504</v>
      </c>
      <c r="F135" s="331">
        <f>F111</f>
        <v>-0.1</v>
      </c>
      <c r="G135" s="316"/>
      <c r="H135" s="316"/>
      <c r="I135" s="316"/>
      <c r="J135" s="316"/>
      <c r="K135" s="316"/>
      <c r="L135" s="315"/>
      <c r="M135" s="315"/>
      <c r="N135" s="315"/>
      <c r="O135" s="319"/>
      <c r="P135" s="324"/>
      <c r="Q135" s="324"/>
      <c r="R135" s="319"/>
      <c r="S135" s="319"/>
      <c r="T135" s="316"/>
      <c r="U135" s="316"/>
      <c r="V135" s="316"/>
      <c r="W135" s="316"/>
      <c r="X135" s="316"/>
      <c r="Y135" s="316"/>
      <c r="Z135" s="316"/>
      <c r="AA135" s="316"/>
      <c r="AB135" s="316"/>
      <c r="AC135" s="316"/>
      <c r="AD135" s="316"/>
      <c r="AE135" s="316"/>
      <c r="AF135" s="316"/>
      <c r="AG135" s="316"/>
      <c r="AH135" s="316"/>
      <c r="AI135" s="316"/>
      <c r="AJ135" s="316"/>
      <c r="AK135" s="316"/>
      <c r="AL135" s="316"/>
      <c r="AM135" s="316"/>
      <c r="AN135" s="316"/>
      <c r="AO135" s="316"/>
      <c r="AP135" s="316"/>
      <c r="AQ135" s="316"/>
      <c r="AR135" s="316"/>
      <c r="AS135" s="316"/>
      <c r="AT135" s="316"/>
      <c r="AU135" s="316"/>
      <c r="AV135" s="316"/>
      <c r="AW135" s="316"/>
      <c r="AX135" s="316"/>
      <c r="AY135" s="316"/>
    </row>
    <row r="136" spans="2:54">
      <c r="B136" s="316"/>
      <c r="C136" s="316"/>
      <c r="D136" s="328"/>
      <c r="E136" s="1003"/>
      <c r="F136" s="331">
        <f>F111-MHW_</f>
        <v>-0.1</v>
      </c>
      <c r="G136" s="316"/>
      <c r="H136" s="316"/>
      <c r="I136" s="316"/>
      <c r="J136" s="316"/>
      <c r="K136" s="316"/>
      <c r="L136" s="315"/>
      <c r="M136" s="315"/>
      <c r="N136" s="315"/>
      <c r="O136" s="319"/>
      <c r="P136" s="316"/>
      <c r="Q136" s="324"/>
      <c r="R136" s="319"/>
      <c r="S136" s="319"/>
      <c r="T136" s="316"/>
      <c r="U136" s="316"/>
      <c r="V136" s="316"/>
      <c r="W136" s="316"/>
      <c r="X136" s="316"/>
      <c r="Y136" s="316"/>
      <c r="Z136" s="316"/>
      <c r="AA136" s="316"/>
      <c r="AB136" s="316"/>
      <c r="AC136" s="316"/>
      <c r="AD136" s="316"/>
      <c r="AE136" s="316"/>
      <c r="AF136" s="316"/>
      <c r="AG136" s="316"/>
      <c r="AH136" s="316"/>
      <c r="AI136" s="316"/>
      <c r="AJ136" s="316"/>
      <c r="AK136" s="316"/>
      <c r="AL136" s="316"/>
      <c r="AM136" s="316"/>
      <c r="AN136" s="316"/>
      <c r="AO136" s="316"/>
      <c r="AP136" s="316"/>
      <c r="AQ136" s="316"/>
      <c r="AR136" s="316"/>
      <c r="AS136" s="316"/>
      <c r="AT136" s="316"/>
      <c r="AU136" s="316"/>
      <c r="AV136" s="316"/>
      <c r="AW136" s="316"/>
      <c r="AX136" s="316"/>
      <c r="AY136" s="316"/>
    </row>
    <row r="137" spans="2:54">
      <c r="B137" s="316"/>
      <c r="C137" s="316"/>
      <c r="D137" s="328"/>
      <c r="E137" s="1003"/>
      <c r="F137" s="331">
        <f>F23+P_/2</f>
        <v>1.4</v>
      </c>
      <c r="G137" s="316"/>
      <c r="H137" s="316"/>
      <c r="I137" s="316"/>
      <c r="J137" s="316"/>
      <c r="K137" s="316"/>
      <c r="L137" s="315"/>
      <c r="M137" s="315"/>
      <c r="N137" s="315"/>
      <c r="O137" s="319"/>
      <c r="P137" s="324"/>
      <c r="Q137" s="324"/>
      <c r="R137" s="319"/>
      <c r="S137" s="319"/>
      <c r="T137" s="316"/>
      <c r="U137" s="316"/>
      <c r="V137" s="316"/>
      <c r="W137" s="316"/>
      <c r="X137" s="316"/>
      <c r="Y137" s="316"/>
      <c r="Z137" s="316"/>
      <c r="AA137" s="316"/>
      <c r="AB137" s="316"/>
      <c r="AC137" s="316"/>
      <c r="AD137" s="316"/>
      <c r="AE137" s="316"/>
      <c r="AF137" s="316"/>
      <c r="AG137" s="316"/>
      <c r="AH137" s="316"/>
      <c r="AI137" s="316"/>
      <c r="AJ137" s="316"/>
      <c r="AK137" s="316"/>
      <c r="AL137" s="316"/>
      <c r="AM137" s="316"/>
      <c r="AN137" s="316"/>
      <c r="AO137" s="316"/>
      <c r="AP137" s="316"/>
      <c r="AQ137" s="316"/>
      <c r="AR137" s="316"/>
      <c r="AS137" s="316"/>
      <c r="AT137" s="316"/>
      <c r="AU137" s="316"/>
      <c r="AV137" s="316"/>
      <c r="AW137" s="316"/>
      <c r="AX137" s="316"/>
      <c r="AY137" s="316"/>
    </row>
    <row r="138" spans="2:54">
      <c r="B138" s="316"/>
      <c r="C138" s="316"/>
      <c r="D138" s="328"/>
      <c r="E138" s="1003"/>
      <c r="F138" s="331">
        <f>F137</f>
        <v>1.4</v>
      </c>
      <c r="G138" s="316"/>
      <c r="H138" s="316"/>
      <c r="I138" s="316"/>
      <c r="J138" s="316"/>
      <c r="K138" s="316"/>
      <c r="L138" s="316"/>
      <c r="M138" s="316"/>
      <c r="N138" s="316"/>
      <c r="O138" s="316"/>
      <c r="P138" s="324"/>
      <c r="Q138" s="324"/>
      <c r="R138" s="319"/>
      <c r="S138" s="319"/>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6"/>
      <c r="AU138" s="316"/>
      <c r="AV138" s="316"/>
      <c r="AW138" s="316"/>
      <c r="AX138" s="316"/>
      <c r="AY138" s="316"/>
    </row>
    <row r="139" spans="2:54">
      <c r="B139" s="316"/>
      <c r="C139" s="316"/>
      <c r="D139" s="328"/>
      <c r="E139" s="1003"/>
      <c r="F139" s="331">
        <f>F135*COS($F$44)-F137*SIN($F$44)+$F$42</f>
        <v>-0.13661346012857814</v>
      </c>
      <c r="G139" s="316"/>
      <c r="H139" s="316"/>
      <c r="I139" s="316"/>
      <c r="J139" s="316"/>
      <c r="K139" s="316"/>
      <c r="L139" s="319"/>
      <c r="M139" s="319"/>
      <c r="N139" s="319"/>
      <c r="O139" s="319"/>
      <c r="P139" s="324"/>
      <c r="Q139" s="324"/>
      <c r="R139" s="319"/>
      <c r="S139" s="319"/>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6"/>
    </row>
    <row r="140" spans="2:54">
      <c r="B140" s="316"/>
      <c r="C140" s="316"/>
      <c r="D140" s="328"/>
      <c r="E140" s="1003"/>
      <c r="F140" s="331">
        <f>F135*SIN($F$44)+F137*COS($F$44)+$F$43</f>
        <v>1.3969025601349929</v>
      </c>
      <c r="G140" s="316"/>
      <c r="H140" s="316"/>
      <c r="I140" s="316"/>
      <c r="J140" s="316"/>
      <c r="K140" s="316"/>
      <c r="L140" s="319"/>
      <c r="M140" s="319"/>
      <c r="N140" s="319"/>
      <c r="O140" s="319"/>
      <c r="P140" s="324"/>
      <c r="Q140" s="324"/>
      <c r="R140" s="319"/>
      <c r="S140" s="319"/>
      <c r="T140" s="316"/>
      <c r="U140" s="316"/>
      <c r="V140" s="316"/>
      <c r="W140" s="316"/>
      <c r="X140" s="316"/>
      <c r="Y140" s="316"/>
      <c r="Z140" s="316"/>
      <c r="AA140" s="316"/>
      <c r="AB140" s="316"/>
      <c r="AC140" s="316"/>
      <c r="AD140" s="316"/>
      <c r="AE140" s="316"/>
      <c r="AF140" s="316"/>
      <c r="AG140" s="316"/>
      <c r="AH140" s="316"/>
      <c r="AI140" s="316"/>
      <c r="AJ140" s="316"/>
      <c r="AK140" s="316"/>
      <c r="AL140" s="316"/>
      <c r="AM140" s="316"/>
      <c r="AN140" s="316"/>
      <c r="AO140" s="316"/>
      <c r="AP140" s="316"/>
      <c r="AQ140" s="316"/>
      <c r="AR140" s="316"/>
      <c r="AS140" s="316"/>
      <c r="AT140" s="316"/>
      <c r="AU140" s="316"/>
      <c r="AV140" s="316"/>
      <c r="AW140" s="316"/>
      <c r="AX140" s="316"/>
      <c r="AY140" s="316"/>
    </row>
    <row r="141" spans="2:54">
      <c r="B141" s="316"/>
      <c r="C141" s="316"/>
      <c r="D141" s="328"/>
      <c r="E141" s="1003"/>
      <c r="F141" s="331">
        <f>F136*COS($F$44)-F138*SIN($F$44)+$F$42</f>
        <v>-0.13661346012857814</v>
      </c>
      <c r="G141" s="316"/>
      <c r="H141" s="316"/>
      <c r="I141" s="316"/>
      <c r="J141" s="316"/>
      <c r="K141" s="316"/>
      <c r="L141" s="315"/>
      <c r="M141" s="315"/>
      <c r="N141" s="319"/>
      <c r="O141" s="319"/>
      <c r="P141" s="324"/>
      <c r="Q141" s="324"/>
      <c r="R141" s="319"/>
      <c r="S141" s="319"/>
      <c r="T141" s="316"/>
      <c r="U141" s="316"/>
      <c r="V141" s="316"/>
      <c r="W141" s="316"/>
      <c r="X141" s="316"/>
      <c r="Y141" s="316"/>
      <c r="Z141" s="316"/>
      <c r="AA141" s="316"/>
      <c r="AB141" s="316"/>
      <c r="AC141" s="316"/>
      <c r="AD141" s="316"/>
      <c r="AE141" s="316"/>
      <c r="AF141" s="316"/>
      <c r="AG141" s="316"/>
      <c r="AH141" s="316"/>
      <c r="AI141" s="316"/>
      <c r="AJ141" s="316"/>
      <c r="AK141" s="316"/>
      <c r="AL141" s="316"/>
      <c r="AM141" s="316"/>
      <c r="AN141" s="316"/>
      <c r="AO141" s="316"/>
      <c r="AP141" s="316"/>
      <c r="AQ141" s="316"/>
      <c r="AR141" s="316"/>
      <c r="AS141" s="316"/>
      <c r="AT141" s="316"/>
      <c r="AU141" s="316"/>
      <c r="AV141" s="316"/>
      <c r="AW141" s="316"/>
      <c r="AX141" s="316"/>
      <c r="AY141" s="316"/>
    </row>
    <row r="142" spans="2:54">
      <c r="B142" s="316"/>
      <c r="C142" s="316"/>
      <c r="D142" s="328"/>
      <c r="E142" s="1004"/>
      <c r="F142" s="331">
        <f>F136*SIN($F$44)+F138*COS($F$44)+$F$43</f>
        <v>1.3969025601349929</v>
      </c>
      <c r="G142" s="316"/>
      <c r="H142" s="316"/>
      <c r="I142" s="316"/>
      <c r="J142" s="316"/>
      <c r="K142" s="316"/>
      <c r="L142" s="315"/>
      <c r="M142" s="315"/>
      <c r="N142" s="319"/>
      <c r="O142" s="319"/>
      <c r="P142" s="324"/>
      <c r="Q142" s="324"/>
      <c r="R142" s="319"/>
      <c r="S142" s="319"/>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row>
    <row r="143" spans="2:54">
      <c r="B143" s="316"/>
      <c r="C143" s="316"/>
      <c r="D143" s="328"/>
      <c r="E143" s="1002" t="s">
        <v>1506</v>
      </c>
      <c r="F143" s="331">
        <f>F111</f>
        <v>-0.1</v>
      </c>
      <c r="G143" s="316"/>
      <c r="H143" s="316"/>
      <c r="I143" s="316"/>
      <c r="J143" s="316"/>
      <c r="K143" s="316"/>
      <c r="L143" s="315"/>
      <c r="M143" s="315"/>
      <c r="N143" s="319"/>
      <c r="O143" s="319"/>
      <c r="P143" s="324"/>
      <c r="Q143" s="324"/>
      <c r="R143" s="319"/>
      <c r="S143" s="319"/>
      <c r="T143" s="316"/>
      <c r="U143" s="316"/>
      <c r="V143" s="316"/>
      <c r="W143" s="316"/>
      <c r="X143" s="316"/>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c r="AX143" s="316"/>
      <c r="AY143" s="316"/>
    </row>
    <row r="144" spans="2:54">
      <c r="B144" s="316"/>
      <c r="C144" s="316"/>
      <c r="D144" s="328"/>
      <c r="E144" s="1003"/>
      <c r="F144" s="331">
        <f>F111-MTW_</f>
        <v>-0.1</v>
      </c>
      <c r="G144" s="316"/>
      <c r="H144" s="316"/>
      <c r="I144" s="316"/>
      <c r="J144" s="316"/>
      <c r="K144" s="316"/>
      <c r="L144" s="319"/>
      <c r="M144" s="315"/>
      <c r="N144" s="319"/>
      <c r="O144" s="319"/>
      <c r="P144" s="324"/>
      <c r="Q144" s="324"/>
      <c r="R144" s="319"/>
      <c r="S144" s="319"/>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316"/>
      <c r="AR144" s="316"/>
      <c r="AS144" s="316"/>
      <c r="AT144" s="316"/>
      <c r="AU144" s="316"/>
      <c r="AV144" s="316"/>
      <c r="AW144" s="316"/>
      <c r="AX144" s="316"/>
      <c r="AY144" s="316"/>
    </row>
    <row r="145" spans="2:51">
      <c r="B145" s="316"/>
      <c r="C145" s="316"/>
      <c r="D145" s="328"/>
      <c r="E145" s="1003"/>
      <c r="F145" s="331">
        <f>F23+P_*3/4</f>
        <v>1.4</v>
      </c>
      <c r="G145" s="316"/>
      <c r="H145" s="316"/>
      <c r="I145" s="316"/>
      <c r="J145" s="316"/>
      <c r="K145" s="316"/>
      <c r="L145" s="316"/>
      <c r="M145" s="316"/>
      <c r="N145" s="319"/>
      <c r="O145" s="319"/>
      <c r="P145" s="324"/>
      <c r="Q145" s="324"/>
      <c r="R145" s="319"/>
      <c r="S145" s="319"/>
      <c r="T145" s="316"/>
      <c r="U145" s="316"/>
      <c r="V145" s="316"/>
      <c r="W145" s="316"/>
      <c r="X145" s="316"/>
      <c r="Y145" s="316"/>
      <c r="Z145" s="316"/>
      <c r="AA145" s="316"/>
      <c r="AB145" s="316"/>
      <c r="AC145" s="316"/>
      <c r="AD145" s="316"/>
      <c r="AE145" s="316"/>
      <c r="AF145" s="316"/>
      <c r="AG145" s="316"/>
      <c r="AH145" s="316"/>
      <c r="AI145" s="316"/>
      <c r="AJ145" s="316"/>
      <c r="AK145" s="316"/>
      <c r="AL145" s="316"/>
      <c r="AM145" s="316"/>
      <c r="AN145" s="316"/>
      <c r="AO145" s="316"/>
      <c r="AP145" s="316"/>
      <c r="AQ145" s="316"/>
      <c r="AR145" s="316"/>
      <c r="AS145" s="316"/>
      <c r="AT145" s="316"/>
      <c r="AU145" s="316"/>
      <c r="AV145" s="316"/>
      <c r="AW145" s="316"/>
      <c r="AX145" s="316"/>
      <c r="AY145" s="316"/>
    </row>
    <row r="146" spans="2:51">
      <c r="B146" s="316"/>
      <c r="C146" s="316"/>
      <c r="D146" s="328"/>
      <c r="E146" s="1003"/>
      <c r="F146" s="331">
        <f>F145</f>
        <v>1.4</v>
      </c>
      <c r="G146" s="316"/>
      <c r="H146" s="316"/>
      <c r="I146" s="316"/>
      <c r="J146" s="316"/>
      <c r="K146" s="316"/>
      <c r="L146" s="317"/>
      <c r="M146" s="316"/>
      <c r="N146" s="316"/>
      <c r="O146" s="317"/>
      <c r="P146" s="324"/>
      <c r="Q146" s="324"/>
      <c r="R146" s="319"/>
      <c r="S146" s="319"/>
    </row>
    <row r="147" spans="2:51">
      <c r="B147" s="316"/>
      <c r="C147" s="316"/>
      <c r="D147" s="328"/>
      <c r="E147" s="1003"/>
      <c r="F147" s="331">
        <f>F143*COS($F$44)-F145*SIN($F$44)+$F$42</f>
        <v>-0.13661346012857814</v>
      </c>
      <c r="G147" s="316"/>
      <c r="H147" s="316"/>
      <c r="I147" s="316"/>
      <c r="J147" s="316"/>
      <c r="K147" s="316"/>
      <c r="L147" s="317"/>
      <c r="M147" s="319"/>
      <c r="N147" s="319"/>
      <c r="O147" s="319"/>
      <c r="P147" s="316"/>
      <c r="Q147" s="324"/>
      <c r="R147" s="319"/>
      <c r="S147" s="319"/>
    </row>
    <row r="148" spans="2:51">
      <c r="B148" s="316"/>
      <c r="C148" s="316"/>
      <c r="D148" s="328"/>
      <c r="E148" s="1003"/>
      <c r="F148" s="331">
        <f>F143*SIN($F$44)+F145*COS($F$44)+$F$43</f>
        <v>1.3969025601349929</v>
      </c>
      <c r="G148" s="316"/>
      <c r="H148" s="316"/>
      <c r="I148" s="316"/>
      <c r="J148" s="316"/>
      <c r="K148" s="316"/>
      <c r="L148" s="319"/>
      <c r="M148" s="323"/>
      <c r="N148" s="323"/>
      <c r="O148" s="319"/>
      <c r="P148" s="316"/>
      <c r="Q148" s="324"/>
      <c r="R148" s="319"/>
      <c r="S148" s="319"/>
    </row>
    <row r="149" spans="2:51">
      <c r="B149" s="316"/>
      <c r="C149" s="316"/>
      <c r="D149" s="328"/>
      <c r="E149" s="1003"/>
      <c r="F149" s="331">
        <f>F144*COS($F$44)-F146*SIN($F$44)+$F$42</f>
        <v>-0.13661346012857814</v>
      </c>
      <c r="G149" s="316"/>
      <c r="H149" s="316"/>
      <c r="I149" s="316"/>
      <c r="J149" s="316"/>
      <c r="K149" s="316"/>
      <c r="L149" s="319"/>
      <c r="M149" s="323"/>
      <c r="N149" s="323"/>
      <c r="O149" s="319"/>
      <c r="P149" s="316"/>
      <c r="Q149" s="324"/>
      <c r="R149" s="319"/>
      <c r="S149" s="319"/>
    </row>
    <row r="150" spans="2:51">
      <c r="B150" s="316"/>
      <c r="C150" s="316"/>
      <c r="D150" s="328"/>
      <c r="E150" s="1004"/>
      <c r="F150" s="331">
        <f>F144*SIN($F$44)+F146*COS($F$44)+$F$43</f>
        <v>1.3969025601349929</v>
      </c>
      <c r="G150" s="316"/>
      <c r="H150" s="316"/>
      <c r="I150" s="316"/>
      <c r="J150" s="316"/>
      <c r="K150" s="316"/>
      <c r="L150" s="342"/>
      <c r="M150" s="315"/>
      <c r="N150" s="315"/>
      <c r="O150" s="317"/>
      <c r="P150" s="316"/>
      <c r="Q150" s="324"/>
      <c r="R150" s="319"/>
      <c r="S150" s="319"/>
    </row>
    <row r="151" spans="2:51">
      <c r="B151" s="316"/>
      <c r="C151" s="316"/>
      <c r="D151" s="328"/>
      <c r="E151" s="1002" t="s">
        <v>1507</v>
      </c>
      <c r="F151" s="331">
        <f>F111</f>
        <v>-0.1</v>
      </c>
      <c r="G151" s="316"/>
      <c r="H151" s="316"/>
      <c r="I151" s="316"/>
      <c r="J151" s="316"/>
      <c r="K151" s="316"/>
      <c r="L151" s="342"/>
      <c r="M151" s="315"/>
      <c r="N151" s="315"/>
      <c r="O151" s="315"/>
      <c r="P151" s="320"/>
      <c r="Q151" s="324"/>
      <c r="R151" s="319"/>
      <c r="S151" s="319"/>
    </row>
    <row r="152" spans="2:51">
      <c r="B152" s="316"/>
      <c r="C152" s="316"/>
      <c r="D152" s="328"/>
      <c r="E152" s="1003"/>
      <c r="F152" s="331">
        <f>F111-MUW_</f>
        <v>-0.1</v>
      </c>
      <c r="G152" s="316"/>
      <c r="H152" s="316"/>
      <c r="I152" s="316"/>
      <c r="J152" s="316"/>
      <c r="K152" s="316"/>
      <c r="L152" s="319"/>
      <c r="M152" s="315"/>
      <c r="N152" s="315"/>
      <c r="O152" s="319"/>
      <c r="P152" s="319"/>
      <c r="Q152" s="324"/>
      <c r="R152" s="319"/>
      <c r="S152" s="319"/>
    </row>
    <row r="153" spans="2:51">
      <c r="B153" s="316"/>
      <c r="C153" s="316"/>
      <c r="D153" s="328"/>
      <c r="E153" s="1003"/>
      <c r="F153" s="331">
        <f>F23+P_*7/8</f>
        <v>1.4</v>
      </c>
      <c r="G153" s="316"/>
      <c r="H153" s="316"/>
      <c r="I153" s="316"/>
      <c r="J153" s="316"/>
      <c r="K153" s="316"/>
      <c r="L153" s="317"/>
      <c r="M153" s="315"/>
      <c r="N153" s="315"/>
      <c r="O153" s="319"/>
      <c r="P153" s="319"/>
      <c r="Q153" s="324"/>
      <c r="R153" s="319"/>
      <c r="S153" s="319"/>
    </row>
    <row r="154" spans="2:51">
      <c r="B154" s="316"/>
      <c r="C154" s="316"/>
      <c r="D154" s="328"/>
      <c r="E154" s="1003"/>
      <c r="F154" s="331">
        <f>F153</f>
        <v>1.4</v>
      </c>
      <c r="G154" s="316"/>
      <c r="H154" s="316"/>
      <c r="I154" s="316"/>
      <c r="J154" s="316"/>
      <c r="K154" s="316"/>
      <c r="L154" s="319"/>
      <c r="M154" s="323"/>
      <c r="N154" s="323"/>
      <c r="O154" s="319"/>
      <c r="P154" s="319"/>
      <c r="Q154" s="324"/>
      <c r="R154" s="319"/>
      <c r="S154" s="319"/>
    </row>
    <row r="155" spans="2:51">
      <c r="B155" s="316"/>
      <c r="C155" s="316"/>
      <c r="D155" s="328"/>
      <c r="E155" s="1003"/>
      <c r="F155" s="331">
        <f>F151*COS($F$44)-F153*SIN($F$44)+$F$42</f>
        <v>-0.13661346012857814</v>
      </c>
      <c r="G155" s="316"/>
      <c r="H155" s="316"/>
      <c r="I155" s="316"/>
      <c r="J155" s="316"/>
      <c r="K155" s="316"/>
      <c r="L155" s="319"/>
      <c r="M155" s="323"/>
      <c r="N155" s="323"/>
      <c r="O155" s="319"/>
      <c r="P155" s="319"/>
      <c r="Q155" s="324"/>
      <c r="R155" s="319"/>
      <c r="S155" s="319"/>
    </row>
    <row r="156" spans="2:51">
      <c r="B156" s="316"/>
      <c r="C156" s="316"/>
      <c r="D156" s="328"/>
      <c r="E156" s="1003"/>
      <c r="F156" s="331">
        <f>F151*SIN($F$44)+F153*COS($F$44)+$F$43</f>
        <v>1.3969025601349929</v>
      </c>
      <c r="G156" s="316"/>
      <c r="H156" s="316"/>
      <c r="I156" s="316"/>
      <c r="J156" s="316"/>
      <c r="K156" s="316"/>
      <c r="L156" s="342"/>
      <c r="M156" s="315"/>
      <c r="N156" s="315"/>
      <c r="O156" s="317"/>
      <c r="P156" s="319"/>
      <c r="Q156" s="324"/>
      <c r="R156" s="319"/>
      <c r="S156" s="319"/>
    </row>
    <row r="157" spans="2:51">
      <c r="B157" s="316"/>
      <c r="C157" s="316"/>
      <c r="D157" s="328"/>
      <c r="E157" s="1003"/>
      <c r="F157" s="331">
        <f>F152*COS($F$44)-F154*SIN($F$44)+$F$42</f>
        <v>-0.13661346012857814</v>
      </c>
      <c r="G157" s="316"/>
      <c r="H157" s="316"/>
      <c r="I157" s="316"/>
      <c r="J157" s="316"/>
      <c r="K157" s="316"/>
      <c r="L157" s="342"/>
      <c r="M157" s="315"/>
      <c r="N157" s="315"/>
      <c r="O157" s="315"/>
      <c r="P157" s="320"/>
      <c r="Q157" s="324"/>
      <c r="R157" s="319"/>
      <c r="S157" s="319"/>
      <c r="V157" s="329"/>
    </row>
    <row r="158" spans="2:51">
      <c r="B158" s="316"/>
      <c r="C158" s="316"/>
      <c r="D158" s="328"/>
      <c r="E158" s="1004"/>
      <c r="F158" s="331">
        <f>F152*SIN($F$44)+F154*COS($F$44)+$F$43</f>
        <v>1.3969025601349929</v>
      </c>
      <c r="G158" s="316"/>
      <c r="H158" s="316"/>
      <c r="I158" s="316"/>
      <c r="J158" s="316"/>
      <c r="K158" s="316"/>
      <c r="L158" s="319"/>
      <c r="M158" s="315"/>
      <c r="N158" s="315"/>
      <c r="O158" s="319"/>
      <c r="P158" s="319"/>
      <c r="Q158" s="324"/>
      <c r="R158" s="319"/>
      <c r="S158" s="319"/>
      <c r="V158" s="329"/>
    </row>
    <row r="159" spans="2:51">
      <c r="B159" s="316"/>
      <c r="C159" s="316"/>
      <c r="D159" s="328"/>
      <c r="E159" s="1002" t="s">
        <v>1824</v>
      </c>
      <c r="F159" s="331">
        <v>0</v>
      </c>
      <c r="G159" s="316"/>
      <c r="H159" s="316"/>
      <c r="I159" s="316"/>
      <c r="J159" s="316"/>
      <c r="K159" s="316"/>
      <c r="L159" s="317"/>
      <c r="M159" s="315"/>
      <c r="N159" s="315"/>
      <c r="O159" s="319"/>
      <c r="P159" s="319"/>
      <c r="Q159" s="324"/>
      <c r="R159" s="319"/>
      <c r="S159" s="319"/>
      <c r="V159" s="329"/>
    </row>
    <row r="160" spans="2:51">
      <c r="B160" s="316"/>
      <c r="C160" s="316"/>
      <c r="D160" s="328"/>
      <c r="E160" s="1003"/>
      <c r="F160" s="331">
        <f>LH_+0.4</f>
        <v>0.4</v>
      </c>
      <c r="G160" s="316"/>
      <c r="H160" s="316"/>
      <c r="I160" s="316"/>
      <c r="J160" s="316"/>
      <c r="K160" s="316"/>
      <c r="L160" s="319"/>
      <c r="M160" s="323"/>
      <c r="N160" s="323"/>
      <c r="O160" s="319"/>
      <c r="P160" s="319"/>
      <c r="Q160" s="324"/>
      <c r="R160" s="319"/>
      <c r="S160" s="319"/>
      <c r="V160" s="329"/>
    </row>
    <row r="161" spans="2:22">
      <c r="B161" s="316"/>
      <c r="C161" s="316"/>
      <c r="D161" s="328"/>
      <c r="E161" s="1003"/>
      <c r="F161" s="331">
        <f>F48-F29</f>
        <v>-0.2</v>
      </c>
      <c r="G161" s="316"/>
      <c r="H161" s="316"/>
      <c r="I161" s="316"/>
      <c r="J161" s="316"/>
      <c r="K161" s="316"/>
      <c r="L161" s="319"/>
      <c r="M161" s="323"/>
      <c r="N161" s="323"/>
      <c r="O161" s="319"/>
      <c r="P161" s="319"/>
      <c r="Q161" s="324"/>
      <c r="R161" s="319"/>
      <c r="S161" s="319"/>
      <c r="V161" s="371"/>
    </row>
    <row r="162" spans="2:22">
      <c r="B162" s="316"/>
      <c r="C162" s="316"/>
      <c r="D162" s="328"/>
      <c r="E162" s="1004"/>
      <c r="F162" s="331">
        <f>F161</f>
        <v>-0.2</v>
      </c>
      <c r="G162" s="316"/>
      <c r="H162" s="316"/>
      <c r="I162" s="316"/>
      <c r="J162" s="316"/>
      <c r="K162" s="316"/>
      <c r="L162" s="342"/>
      <c r="M162" s="315"/>
      <c r="N162" s="315"/>
      <c r="O162" s="317"/>
      <c r="P162" s="319"/>
      <c r="Q162" s="324"/>
      <c r="R162" s="319"/>
      <c r="S162" s="319"/>
    </row>
    <row r="163" spans="2:22">
      <c r="B163" s="316"/>
      <c r="C163" s="316"/>
      <c r="D163" s="328"/>
      <c r="E163" s="1002" t="s">
        <v>1831</v>
      </c>
      <c r="F163" s="331">
        <f>F159</f>
        <v>0</v>
      </c>
      <c r="G163" s="316"/>
      <c r="H163" s="316"/>
      <c r="I163" s="316"/>
      <c r="J163" s="316"/>
      <c r="K163" s="316"/>
      <c r="L163" s="342"/>
      <c r="M163" s="315"/>
      <c r="N163" s="315"/>
      <c r="O163" s="315"/>
      <c r="P163" s="320"/>
      <c r="Q163" s="324"/>
      <c r="R163" s="319"/>
      <c r="S163" s="319"/>
      <c r="V163" s="329"/>
    </row>
    <row r="164" spans="2:22">
      <c r="B164" s="316"/>
      <c r="C164" s="316"/>
      <c r="D164" s="328"/>
      <c r="E164" s="1003"/>
      <c r="F164" s="331">
        <f>F163</f>
        <v>0</v>
      </c>
      <c r="G164" s="316"/>
      <c r="H164" s="316"/>
      <c r="I164" s="316"/>
      <c r="J164" s="316"/>
      <c r="K164" s="316"/>
      <c r="L164" s="316"/>
      <c r="M164" s="316"/>
      <c r="N164" s="316"/>
      <c r="O164" s="316"/>
      <c r="P164" s="316"/>
      <c r="Q164" s="324"/>
      <c r="R164" s="319"/>
      <c r="S164" s="319"/>
      <c r="V164" s="329"/>
    </row>
    <row r="165" spans="2:22">
      <c r="B165" s="316"/>
      <c r="C165" s="316"/>
      <c r="D165" s="328"/>
      <c r="E165" s="1003"/>
      <c r="F165" s="331">
        <f>F161+Y_</f>
        <v>-0.2</v>
      </c>
      <c r="G165" s="316"/>
      <c r="H165" s="316"/>
      <c r="I165" s="316"/>
      <c r="J165" s="316"/>
      <c r="K165" s="316"/>
      <c r="L165" s="317"/>
      <c r="M165" s="315"/>
      <c r="N165" s="315"/>
      <c r="O165" s="319"/>
      <c r="P165" s="319"/>
      <c r="Q165" s="324"/>
      <c r="R165" s="319"/>
      <c r="S165" s="319"/>
      <c r="V165" s="329"/>
    </row>
    <row r="166" spans="2:22">
      <c r="B166" s="316"/>
      <c r="C166" s="316"/>
      <c r="D166" s="328"/>
      <c r="E166" s="1004"/>
      <c r="F166" s="331">
        <f>F161+F32</f>
        <v>-4.9999999999999989E-2</v>
      </c>
      <c r="G166" s="316"/>
      <c r="H166" s="316"/>
      <c r="I166" s="316"/>
      <c r="J166" s="316"/>
      <c r="K166" s="316"/>
      <c r="L166" s="319"/>
      <c r="M166" s="323"/>
      <c r="N166" s="323"/>
      <c r="O166" s="319"/>
      <c r="P166" s="319"/>
      <c r="Q166" s="324"/>
      <c r="R166" s="319"/>
      <c r="S166" s="319"/>
      <c r="V166" s="329"/>
    </row>
    <row r="167" spans="2:22">
      <c r="B167" s="316"/>
      <c r="C167" s="316"/>
      <c r="D167" s="328"/>
      <c r="E167" s="1002" t="s">
        <v>1832</v>
      </c>
      <c r="F167" s="331">
        <f>F163+SO_</f>
        <v>0</v>
      </c>
      <c r="G167" s="316"/>
      <c r="H167" s="316"/>
      <c r="I167" s="316"/>
      <c r="J167" s="316"/>
      <c r="K167" s="316"/>
      <c r="L167" s="319"/>
      <c r="M167" s="323"/>
      <c r="N167" s="323"/>
      <c r="O167" s="319"/>
      <c r="P167" s="319"/>
      <c r="Q167" s="324"/>
      <c r="R167" s="319"/>
      <c r="S167" s="319"/>
      <c r="V167" s="371"/>
    </row>
    <row r="168" spans="2:22">
      <c r="B168" s="316"/>
      <c r="C168" s="316"/>
      <c r="D168" s="328"/>
      <c r="E168" s="1003"/>
      <c r="F168" s="331">
        <f>LH_-BO_</f>
        <v>0</v>
      </c>
      <c r="G168" s="316"/>
      <c r="H168" s="316"/>
      <c r="I168" s="316"/>
      <c r="J168" s="316"/>
      <c r="K168" s="316"/>
      <c r="L168" s="342"/>
      <c r="M168" s="315"/>
      <c r="N168" s="315"/>
      <c r="O168" s="317"/>
      <c r="P168" s="319"/>
      <c r="Q168" s="324"/>
      <c r="R168" s="319"/>
      <c r="S168" s="319"/>
    </row>
    <row r="169" spans="2:22">
      <c r="B169" s="316"/>
      <c r="C169" s="316"/>
      <c r="D169" s="328"/>
      <c r="E169" s="1003"/>
      <c r="F169" s="331">
        <f>F168+x_</f>
        <v>0</v>
      </c>
      <c r="G169" s="316"/>
      <c r="H169" s="316"/>
      <c r="I169" s="316"/>
      <c r="J169" s="316"/>
      <c r="K169" s="316"/>
      <c r="L169" s="342"/>
      <c r="M169" s="315"/>
      <c r="N169" s="315"/>
      <c r="O169" s="315"/>
      <c r="P169" s="320"/>
      <c r="Q169" s="324"/>
      <c r="R169" s="319"/>
      <c r="S169" s="319"/>
    </row>
    <row r="170" spans="2:22">
      <c r="B170" s="316"/>
      <c r="C170" s="316"/>
      <c r="D170" s="328"/>
      <c r="E170" s="1003"/>
      <c r="F170" s="331">
        <f>LH_</f>
        <v>0</v>
      </c>
      <c r="G170" s="316"/>
      <c r="H170" s="316"/>
      <c r="I170" s="316"/>
      <c r="J170" s="316"/>
      <c r="K170" s="316"/>
      <c r="L170" s="317"/>
      <c r="M170" s="316"/>
      <c r="N170" s="316"/>
      <c r="O170" s="317"/>
      <c r="P170" s="324"/>
      <c r="Q170" s="324"/>
      <c r="R170" s="319"/>
      <c r="S170" s="319"/>
    </row>
    <row r="171" spans="2:22">
      <c r="B171" s="316"/>
      <c r="C171" s="316"/>
      <c r="D171" s="328"/>
      <c r="E171" s="1003"/>
      <c r="F171" s="331">
        <f>F165-Y_</f>
        <v>-0.2</v>
      </c>
      <c r="G171" s="316"/>
      <c r="H171" s="316"/>
      <c r="I171" s="316"/>
      <c r="J171" s="316"/>
      <c r="K171" s="316"/>
      <c r="L171" s="317"/>
      <c r="M171" s="316"/>
      <c r="N171" s="316"/>
      <c r="O171" s="317"/>
      <c r="P171" s="324"/>
      <c r="Q171" s="324"/>
      <c r="R171" s="319"/>
      <c r="S171" s="319"/>
    </row>
    <row r="172" spans="2:22">
      <c r="B172" s="316"/>
      <c r="C172" s="316"/>
      <c r="D172" s="328"/>
      <c r="E172" s="1003"/>
      <c r="F172" s="331">
        <f>F171</f>
        <v>-0.2</v>
      </c>
      <c r="G172" s="316"/>
      <c r="H172" s="316"/>
      <c r="I172" s="316"/>
      <c r="J172" s="316"/>
      <c r="K172" s="316"/>
      <c r="L172" s="317"/>
      <c r="M172" s="316"/>
      <c r="N172" s="316"/>
      <c r="O172" s="317"/>
      <c r="P172" s="324"/>
      <c r="Q172" s="324"/>
      <c r="R172" s="319"/>
      <c r="S172" s="319"/>
    </row>
    <row r="173" spans="2:22">
      <c r="B173" s="316"/>
      <c r="C173" s="316"/>
      <c r="D173" s="328"/>
      <c r="E173" s="1003"/>
      <c r="F173" s="331">
        <f>F172+h_</f>
        <v>-0.2</v>
      </c>
      <c r="G173" s="316"/>
      <c r="H173" s="316"/>
      <c r="I173" s="316"/>
      <c r="J173" s="316"/>
      <c r="K173" s="316"/>
      <c r="L173" s="317"/>
      <c r="M173" s="316"/>
      <c r="N173" s="316"/>
      <c r="O173" s="317"/>
      <c r="P173" s="324"/>
      <c r="Q173" s="324"/>
      <c r="R173" s="319"/>
      <c r="S173" s="319"/>
    </row>
    <row r="174" spans="2:22">
      <c r="D174" s="328"/>
      <c r="E174" s="1004"/>
      <c r="F174" s="331">
        <f>F48</f>
        <v>0</v>
      </c>
      <c r="G174" s="316"/>
      <c r="H174" s="316"/>
      <c r="I174" s="316"/>
      <c r="J174" s="316"/>
      <c r="K174" s="316"/>
      <c r="L174" s="317"/>
      <c r="M174" s="316"/>
      <c r="N174" s="316"/>
      <c r="O174" s="317"/>
      <c r="P174" s="324"/>
      <c r="Q174" s="324"/>
      <c r="R174" s="319"/>
      <c r="S174" s="319"/>
    </row>
    <row r="175" spans="2:22">
      <c r="D175" s="328"/>
      <c r="E175" s="1002" t="s">
        <v>1826</v>
      </c>
      <c r="F175" s="331" t="b">
        <f>IF(PoleType_=1,$F$107+STL_,IF(PoleType_=3,$F$107+STL_,IF(PoleType_=4,$F$107+STL_)))</f>
        <v>0</v>
      </c>
      <c r="G175" s="316"/>
      <c r="H175" s="316"/>
      <c r="I175" s="316"/>
      <c r="J175" s="316"/>
      <c r="K175" s="316"/>
      <c r="L175" s="317"/>
      <c r="M175" s="316"/>
      <c r="N175" s="316"/>
      <c r="O175" s="317"/>
      <c r="P175" s="324"/>
      <c r="Q175" s="324"/>
      <c r="R175" s="319"/>
      <c r="S175" s="319"/>
    </row>
    <row r="176" spans="2:22">
      <c r="D176" s="328"/>
      <c r="E176" s="1003"/>
      <c r="F176" s="331" t="b">
        <f>IF(PoleType_=1,F107+J_,IF(PoleType_=3,F107+J_,IF(PoleType_=4,F107+J_)))</f>
        <v>0</v>
      </c>
      <c r="G176" s="316"/>
      <c r="H176" s="316"/>
      <c r="I176" s="316"/>
      <c r="J176" s="316"/>
      <c r="K176" s="316"/>
      <c r="L176" s="317"/>
      <c r="M176" s="316"/>
      <c r="N176" s="316"/>
      <c r="O176" s="317"/>
      <c r="P176" s="324"/>
      <c r="Q176" s="324"/>
      <c r="R176" s="319"/>
      <c r="S176" s="319"/>
    </row>
    <row r="177" spans="4:19">
      <c r="D177" s="328"/>
      <c r="E177" s="1003"/>
      <c r="F177" s="331" t="b">
        <f>IF(PoleType_=1,0,IF(PoleType_=3,0,IF(PoleType_=4,0)))</f>
        <v>0</v>
      </c>
      <c r="G177" s="316"/>
      <c r="H177" s="316"/>
      <c r="I177" s="316"/>
      <c r="J177" s="316"/>
      <c r="K177" s="316"/>
      <c r="L177" s="317"/>
      <c r="M177" s="316"/>
      <c r="N177" s="316"/>
      <c r="O177" s="317"/>
      <c r="P177" s="324"/>
      <c r="Q177" s="324"/>
      <c r="R177" s="319"/>
      <c r="S177" s="319"/>
    </row>
    <row r="178" spans="4:19">
      <c r="D178" s="328"/>
      <c r="E178" s="1003"/>
      <c r="F178" s="331" t="b">
        <f>IF(PoleType_=1,0,IF(PoleType_=3,0,IF(PoleType_=4,0)))</f>
        <v>0</v>
      </c>
      <c r="G178" s="316"/>
      <c r="H178" s="316"/>
      <c r="I178" s="316"/>
      <c r="J178" s="316"/>
      <c r="K178" s="316"/>
      <c r="L178" s="317"/>
      <c r="M178" s="316"/>
      <c r="N178" s="316"/>
      <c r="O178" s="317"/>
      <c r="P178" s="324"/>
      <c r="Q178" s="324"/>
      <c r="R178" s="319"/>
      <c r="S178" s="319"/>
    </row>
    <row r="179" spans="4:19">
      <c r="D179" s="328"/>
      <c r="E179" s="1003"/>
      <c r="F179" s="331">
        <f>0.08*F29</f>
        <v>1.6E-2</v>
      </c>
      <c r="G179" s="316"/>
      <c r="H179" s="316"/>
      <c r="I179" s="316"/>
      <c r="J179" s="316"/>
      <c r="K179" s="316"/>
      <c r="L179" s="317"/>
      <c r="M179" s="316"/>
      <c r="N179" s="316"/>
      <c r="O179" s="317"/>
      <c r="P179" s="324"/>
      <c r="Q179" s="324"/>
      <c r="R179" s="319"/>
      <c r="S179" s="319"/>
    </row>
    <row r="180" spans="4:19">
      <c r="E180" s="1003"/>
      <c r="F180" s="331" t="b">
        <f>IF(PoleType_=1,F175,IF(PoleType_=3,F175,IF(PoleType_=4,F175)))</f>
        <v>0</v>
      </c>
    </row>
    <row r="181" spans="4:19">
      <c r="E181" s="1003"/>
      <c r="F181" s="331" t="b">
        <f>IF(PoleType_=1,F176-0.025*LH_,IF(PoleType_=3,F176-0.025*LH_,IF(PoleType_=4,F176-0.025*LH_)))</f>
        <v>0</v>
      </c>
    </row>
    <row r="182" spans="4:19">
      <c r="E182" s="1003"/>
      <c r="F182" s="331" t="b">
        <f>IF(PoleType_=1,F177-F179,IF(PoleType_=3,F177-F179,IF(PoleType_=4,F177-F179)))</f>
        <v>0</v>
      </c>
    </row>
    <row r="183" spans="4:19">
      <c r="E183" s="1004"/>
      <c r="F183" s="331" t="b">
        <f>IF(PoleType_=1,F178-F179,IF(PoleType_=3,F178-F179,IF(PoleType_=4,F178-F179)))</f>
        <v>0</v>
      </c>
    </row>
    <row r="184" spans="4:19">
      <c r="E184" s="1002" t="s">
        <v>1833</v>
      </c>
      <c r="F184" s="331" t="b">
        <f>IF(PoleType_=2,$F$107+STL_,IF(PoleType_=3,$F$107+STL_,IF(PoleType_=5,$F$107+STL_)))</f>
        <v>0</v>
      </c>
    </row>
    <row r="185" spans="4:19">
      <c r="E185" s="1003"/>
      <c r="F185" s="331" t="b">
        <f>IF(PoleType_=2,$F$107,IF(PoleType_=3,$F$107,IF(PoleType_=5,$F$107)))</f>
        <v>0</v>
      </c>
    </row>
    <row r="186" spans="4:19">
      <c r="E186" s="1003"/>
      <c r="F186" s="331" t="b">
        <f>IF(PoleType_=2,1.1+(LH_-6)*0.1,IF(PoleType_=3,1.1+(LH_-6)*0.1,IF(PoleType_=5,1.1+(LH_-6)*0.1)))</f>
        <v>0</v>
      </c>
    </row>
    <row r="187" spans="4:19">
      <c r="E187" s="1003"/>
      <c r="F187" s="331" t="b">
        <f>IF(PoleType_=2,1.1+(LH_-6)*0.1,IF(PoleType_=3,1.1+(LH_-6)*0.1,IF(PoleType_=5,1.1+(LH_-6)*0.1)))</f>
        <v>0</v>
      </c>
    </row>
    <row r="188" spans="4:19">
      <c r="E188" s="1003"/>
      <c r="F188" s="331">
        <f>0.08*F29</f>
        <v>1.6E-2</v>
      </c>
    </row>
    <row r="189" spans="4:19">
      <c r="E189" s="1003"/>
      <c r="F189" s="331" t="b">
        <f>IF(PoleType_=2,F184,IF(PoleType_=3,F184,IF(PoleType_=5,F184)))</f>
        <v>0</v>
      </c>
    </row>
    <row r="190" spans="4:19">
      <c r="E190" s="1003"/>
      <c r="F190" s="331" t="b">
        <f>IF(PoleType_=2,F185,IF(PoleType_=3,F185,IF(PoleType_=5,F185)))</f>
        <v>0</v>
      </c>
    </row>
    <row r="191" spans="4:19">
      <c r="E191" s="1003"/>
      <c r="F191" s="331" t="b">
        <f>IF(PoleType_=2,F186-F188,IF(PoleType_=3,F186-F188,IF(PoleType_=5,F186-F188)))</f>
        <v>0</v>
      </c>
    </row>
    <row r="192" spans="4:19">
      <c r="E192" s="1004"/>
      <c r="F192" s="331" t="b">
        <f>IF(PoleType_=2,F187-F188,IF(PoleType_=3,F187-F188,IF(PoleType_=5,F187-F188)))</f>
        <v>0</v>
      </c>
    </row>
    <row r="193" spans="1:6">
      <c r="E193" s="1002" t="s">
        <v>1834</v>
      </c>
      <c r="F193" s="331">
        <f>(F106-0.25)/20</f>
        <v>5.7499999999999996E-2</v>
      </c>
    </row>
    <row r="194" spans="1:6">
      <c r="E194" s="1005"/>
      <c r="F194" s="331" t="b">
        <f>IF(PoleType_=1,1,IF(PoleType_=3,1,IF(PoleType_=4,1)))</f>
        <v>0</v>
      </c>
    </row>
    <row r="195" spans="1:6">
      <c r="E195" s="1005"/>
      <c r="F195" s="331" t="b">
        <f>IF(PoleType_=2,2)</f>
        <v>0</v>
      </c>
    </row>
    <row r="196" spans="1:6">
      <c r="E196" s="1005"/>
      <c r="F196" s="372" t="str">
        <f>IF(F194=1,1,IF(F195=2,2,"FAUX"))</f>
        <v>FAUX</v>
      </c>
    </row>
    <row r="197" spans="1:6">
      <c r="E197" s="1005"/>
      <c r="F197" s="331">
        <f>IF($F$196=1,F175,0)</f>
        <v>0</v>
      </c>
    </row>
    <row r="198" spans="1:6">
      <c r="E198" s="1005"/>
      <c r="F198" s="331">
        <f>IF($F$196=1,F177,0)</f>
        <v>0</v>
      </c>
    </row>
    <row r="199" spans="1:6">
      <c r="E199" s="1005"/>
      <c r="F199" s="331">
        <f>IF($F$196=1,$F$109+($F$197-$F$109)*9/10,0)</f>
        <v>0</v>
      </c>
    </row>
    <row r="200" spans="1:6">
      <c r="E200" s="1005"/>
      <c r="F200" s="331">
        <f>IF($F$196=1,4.1*$F$193,0)</f>
        <v>0</v>
      </c>
    </row>
    <row r="201" spans="1:6">
      <c r="E201" s="1005"/>
      <c r="F201" s="331">
        <f>IF($F$196=1,$F$109+($F$197-$F$109)*3/5,0)</f>
        <v>0</v>
      </c>
    </row>
    <row r="202" spans="1:6">
      <c r="E202" s="1005"/>
      <c r="F202" s="331">
        <f>IF($F$196=1,14.1*$F$193,0)</f>
        <v>0</v>
      </c>
    </row>
    <row r="203" spans="1:6">
      <c r="E203" s="1005"/>
      <c r="F203" s="331">
        <f>IF($F$196=1,$F$109+($F$197-$F$109)*2/5,0)</f>
        <v>0</v>
      </c>
    </row>
    <row r="204" spans="1:6">
      <c r="E204" s="1005"/>
      <c r="F204" s="331">
        <f>IF($F$196=1,17.5*$F$193,0)</f>
        <v>0</v>
      </c>
    </row>
    <row r="205" spans="1:6">
      <c r="E205" s="1005"/>
      <c r="F205" s="331">
        <f>IF($F$196=1,$F$109+($F$197-$F$109)*1/5,0)</f>
        <v>0</v>
      </c>
    </row>
    <row r="206" spans="1:6">
      <c r="A206" s="316"/>
      <c r="B206" s="316"/>
      <c r="E206" s="1005"/>
      <c r="F206" s="331">
        <f>IF($F$196=1,19.5*$F$193,0)</f>
        <v>0</v>
      </c>
    </row>
    <row r="207" spans="1:6">
      <c r="A207" s="316"/>
      <c r="B207" s="316"/>
      <c r="E207" s="1005"/>
      <c r="F207" s="331">
        <f>IF($F$196=1,$F$109,0)</f>
        <v>0</v>
      </c>
    </row>
    <row r="208" spans="1:6">
      <c r="A208" s="316"/>
      <c r="B208" s="316"/>
      <c r="E208" s="1005"/>
      <c r="F208" s="331">
        <f>IF($F$196=1,$F$110-0.25,0)</f>
        <v>0</v>
      </c>
    </row>
    <row r="209" spans="1:6">
      <c r="A209" s="316"/>
      <c r="B209" s="316"/>
      <c r="E209" s="1005"/>
      <c r="F209" s="372"/>
    </row>
    <row r="210" spans="1:6">
      <c r="A210" s="316"/>
      <c r="B210" s="316"/>
      <c r="E210" s="1005"/>
      <c r="F210" s="372"/>
    </row>
    <row r="211" spans="1:6">
      <c r="A211" s="324"/>
      <c r="B211" s="324"/>
      <c r="E211" s="1005"/>
      <c r="F211" s="331" t="b">
        <f>IF($F$196=2,F184)</f>
        <v>0</v>
      </c>
    </row>
    <row r="212" spans="1:6">
      <c r="A212" s="324"/>
      <c r="B212" s="324"/>
      <c r="E212" s="1005"/>
      <c r="F212" s="331" t="b">
        <f>IF($F$196=2,F186)</f>
        <v>0</v>
      </c>
    </row>
    <row r="213" spans="1:6">
      <c r="A213" s="324"/>
      <c r="B213" s="324"/>
      <c r="E213" s="1005"/>
      <c r="F213" s="331" t="b">
        <f>IF($F$196=2,$F$109+($F$211-$F$109)*9/10)</f>
        <v>0</v>
      </c>
    </row>
    <row r="214" spans="1:6">
      <c r="A214" s="324"/>
      <c r="B214" s="324"/>
      <c r="E214" s="1005"/>
      <c r="F214" s="331" t="b">
        <f>IF($F$196=2,4.5*$F$193)</f>
        <v>0</v>
      </c>
    </row>
    <row r="215" spans="1:6">
      <c r="A215" s="324"/>
      <c r="B215" s="324"/>
      <c r="E215" s="1005"/>
      <c r="F215" s="331" t="b">
        <f>IF($F$196=2,$F$109+($F$211-$F$109)*3/5)</f>
        <v>0</v>
      </c>
    </row>
    <row r="216" spans="1:6">
      <c r="A216" s="324"/>
      <c r="B216" s="324"/>
      <c r="E216" s="1005"/>
      <c r="F216" s="331" t="b">
        <f>IF($F$196=2,14.1*$F$193)</f>
        <v>0</v>
      </c>
    </row>
    <row r="217" spans="1:6">
      <c r="A217" s="316"/>
      <c r="B217" s="316"/>
      <c r="E217" s="1005"/>
      <c r="F217" s="331" t="b">
        <f>IF($F$196=2,$F$109+($F$211-$F$109)*2/5)</f>
        <v>0</v>
      </c>
    </row>
    <row r="218" spans="1:6">
      <c r="A218" s="316"/>
      <c r="B218" s="316"/>
      <c r="E218" s="1005"/>
      <c r="F218" s="331" t="b">
        <f>IF($F$196=2,17.5*$F$193)</f>
        <v>0</v>
      </c>
    </row>
    <row r="219" spans="1:6">
      <c r="A219" s="316"/>
      <c r="B219" s="316"/>
      <c r="E219" s="1005"/>
      <c r="F219" s="331" t="b">
        <f>IF($F$196=2,$F$109+($F$211-$F$109)*1/5)</f>
        <v>0</v>
      </c>
    </row>
    <row r="220" spans="1:6">
      <c r="E220" s="1005"/>
      <c r="F220" s="331" t="b">
        <f>IF($F$196=2,19.5*$F$193)</f>
        <v>0</v>
      </c>
    </row>
    <row r="221" spans="1:6">
      <c r="E221" s="1005"/>
      <c r="F221" s="331" t="b">
        <f>IF($F$196=2,$F$109)</f>
        <v>0</v>
      </c>
    </row>
    <row r="222" spans="1:6">
      <c r="E222" s="1005"/>
      <c r="F222" s="331" t="b">
        <f>IF($F$196=2,$F$110-0.25)</f>
        <v>0</v>
      </c>
    </row>
    <row r="223" spans="1:6">
      <c r="E223" s="1005"/>
      <c r="F223" s="331" t="b">
        <f t="shared" ref="F223:F234" si="0">IF(F197=0,F211,F197)</f>
        <v>0</v>
      </c>
    </row>
    <row r="224" spans="1:6">
      <c r="E224" s="1005"/>
      <c r="F224" s="331" t="b">
        <f t="shared" si="0"/>
        <v>0</v>
      </c>
    </row>
    <row r="225" spans="5:6">
      <c r="E225" s="1005"/>
      <c r="F225" s="331" t="b">
        <f t="shared" si="0"/>
        <v>0</v>
      </c>
    </row>
    <row r="226" spans="5:6">
      <c r="E226" s="1005"/>
      <c r="F226" s="331" t="b">
        <f t="shared" si="0"/>
        <v>0</v>
      </c>
    </row>
    <row r="227" spans="5:6">
      <c r="E227" s="1005"/>
      <c r="F227" s="331" t="b">
        <f t="shared" si="0"/>
        <v>0</v>
      </c>
    </row>
    <row r="228" spans="5:6">
      <c r="E228" s="1005"/>
      <c r="F228" s="331" t="b">
        <f t="shared" si="0"/>
        <v>0</v>
      </c>
    </row>
    <row r="229" spans="5:6">
      <c r="E229" s="1005"/>
      <c r="F229" s="331" t="b">
        <f t="shared" si="0"/>
        <v>0</v>
      </c>
    </row>
    <row r="230" spans="5:6">
      <c r="E230" s="1005"/>
      <c r="F230" s="331" t="b">
        <f t="shared" si="0"/>
        <v>0</v>
      </c>
    </row>
    <row r="231" spans="5:6">
      <c r="E231" s="1005"/>
      <c r="F231" s="331" t="b">
        <f t="shared" si="0"/>
        <v>0</v>
      </c>
    </row>
    <row r="232" spans="5:6">
      <c r="E232" s="1005"/>
      <c r="F232" s="331" t="b">
        <f t="shared" si="0"/>
        <v>0</v>
      </c>
    </row>
    <row r="233" spans="5:6">
      <c r="E233" s="1005"/>
      <c r="F233" s="331" t="b">
        <f t="shared" si="0"/>
        <v>0</v>
      </c>
    </row>
    <row r="234" spans="5:6">
      <c r="E234" s="1005"/>
      <c r="F234" s="331" t="b">
        <f t="shared" si="0"/>
        <v>0</v>
      </c>
    </row>
    <row r="235" spans="5:6">
      <c r="E235" s="1006"/>
      <c r="F235" s="372"/>
    </row>
    <row r="236" spans="5:6">
      <c r="E236" s="1002" t="s">
        <v>1835</v>
      </c>
      <c r="F236" s="331">
        <f>F111</f>
        <v>-0.1</v>
      </c>
    </row>
    <row r="237" spans="5:6">
      <c r="E237" s="1003"/>
      <c r="F237" s="331" t="e">
        <f>F236-F20</f>
        <v>#DIV/0!</v>
      </c>
    </row>
    <row r="238" spans="5:6">
      <c r="E238" s="1003"/>
      <c r="F238" s="331">
        <f>F120+P_</f>
        <v>1.4</v>
      </c>
    </row>
    <row r="239" spans="5:6">
      <c r="E239" s="1003"/>
      <c r="F239" s="331">
        <f>F120+P_</f>
        <v>1.4</v>
      </c>
    </row>
    <row r="240" spans="5:6">
      <c r="E240" s="1003"/>
      <c r="F240" s="331">
        <f>F236*COS($F$44)-F238*SIN($F$44)+$F$42</f>
        <v>-0.13661346012857814</v>
      </c>
    </row>
    <row r="241" spans="5:6">
      <c r="E241" s="1003"/>
      <c r="F241" s="331">
        <f>F236*SIN($F$44)+F238*COS($F$44)+$F$43</f>
        <v>1.3969025601349929</v>
      </c>
    </row>
    <row r="242" spans="5:6">
      <c r="E242" s="1003"/>
      <c r="F242" s="331" t="e">
        <f>F237*COS($F$44)-F239*SIN($F$44)+$F$42</f>
        <v>#DIV/0!</v>
      </c>
    </row>
    <row r="243" spans="5:6">
      <c r="E243" s="1004"/>
      <c r="F243" s="331" t="e">
        <f>F237*SIN($F$44)+F239*COS($F$44)+$F$43</f>
        <v>#DIV/0!</v>
      </c>
    </row>
  </sheetData>
  <sheetProtection password="DBCF" sheet="1" objects="1" scenarios="1"/>
  <mergeCells count="33">
    <mergeCell ref="K49:L49"/>
    <mergeCell ref="AJ29:AK29"/>
    <mergeCell ref="F39:F41"/>
    <mergeCell ref="F23:F24"/>
    <mergeCell ref="F29:F31"/>
    <mergeCell ref="F25:F27"/>
    <mergeCell ref="E22:E24"/>
    <mergeCell ref="E25:E27"/>
    <mergeCell ref="E111:E118"/>
    <mergeCell ref="E99:E110"/>
    <mergeCell ref="E39:E41"/>
    <mergeCell ref="E56:E58"/>
    <mergeCell ref="E28:E31"/>
    <mergeCell ref="E42:E43"/>
    <mergeCell ref="E46:E55"/>
    <mergeCell ref="E33:E38"/>
    <mergeCell ref="E59:E66"/>
    <mergeCell ref="E127:E134"/>
    <mergeCell ref="E91:E98"/>
    <mergeCell ref="E67:E74"/>
    <mergeCell ref="E193:E235"/>
    <mergeCell ref="E151:E158"/>
    <mergeCell ref="E75:E82"/>
    <mergeCell ref="E83:E90"/>
    <mergeCell ref="E119:E126"/>
    <mergeCell ref="E135:E142"/>
    <mergeCell ref="E143:E150"/>
    <mergeCell ref="E175:E183"/>
    <mergeCell ref="E236:E243"/>
    <mergeCell ref="E184:E192"/>
    <mergeCell ref="E159:E162"/>
    <mergeCell ref="E163:E166"/>
    <mergeCell ref="E167:E174"/>
  </mergeCells>
  <phoneticPr fontId="19"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5"/>
  <sheetViews>
    <sheetView workbookViewId="0">
      <pane xSplit="1" ySplit="2" topLeftCell="B3" activePane="bottomRight" state="frozen"/>
      <selection pane="topRight" activeCell="B1" sqref="B1"/>
      <selection pane="bottomLeft" activeCell="A3" sqref="A3"/>
      <selection pane="bottomRight" activeCell="C11" sqref="C11"/>
    </sheetView>
  </sheetViews>
  <sheetFormatPr defaultRowHeight="12.75"/>
  <cols>
    <col min="1" max="1" width="24.140625" style="423" bestFit="1" customWidth="1"/>
    <col min="2" max="2" width="40" style="450" bestFit="1" customWidth="1"/>
    <col min="3" max="3" width="22.85546875" style="433" bestFit="1" customWidth="1"/>
    <col min="4" max="4" width="15.28515625" style="423" bestFit="1" customWidth="1"/>
    <col min="5" max="5" width="32.85546875" style="423" hidden="1" customWidth="1"/>
    <col min="6" max="7" width="7" style="430" hidden="1" customWidth="1"/>
    <col min="8" max="8" width="9.140625" style="430" hidden="1" customWidth="1"/>
    <col min="9" max="10" width="0" style="423" hidden="1" customWidth="1"/>
    <col min="11" max="16384" width="9.140625" style="423"/>
  </cols>
  <sheetData>
    <row r="1" spans="1:8" s="168" customFormat="1">
      <c r="A1" s="423" t="s">
        <v>961</v>
      </c>
      <c r="B1" s="424">
        <f>Application!C12</f>
        <v>0</v>
      </c>
      <c r="C1" s="168" t="s">
        <v>962</v>
      </c>
      <c r="D1" s="425">
        <f>Application!C13</f>
        <v>0</v>
      </c>
      <c r="F1" s="9"/>
      <c r="G1" s="9"/>
      <c r="H1" s="9"/>
    </row>
    <row r="2" spans="1:8" s="168" customFormat="1">
      <c r="A2" s="423"/>
      <c r="B2" s="168" t="s">
        <v>963</v>
      </c>
      <c r="C2" s="168" t="s">
        <v>2769</v>
      </c>
      <c r="D2" s="168" t="s">
        <v>20</v>
      </c>
      <c r="E2" s="423" t="s">
        <v>964</v>
      </c>
      <c r="F2" s="9"/>
      <c r="G2" s="9"/>
      <c r="H2" s="9"/>
    </row>
    <row r="3" spans="1:8">
      <c r="A3" s="426" t="s">
        <v>563</v>
      </c>
      <c r="B3" s="427"/>
      <c r="C3" s="428"/>
      <c r="D3" s="429"/>
    </row>
    <row r="4" spans="1:8">
      <c r="A4" s="431" t="s">
        <v>407</v>
      </c>
      <c r="B4" s="427" t="str">
        <f>IF(Application!F43="","Source of hull data","")</f>
        <v>Source of hull data</v>
      </c>
      <c r="C4" s="428"/>
      <c r="D4" s="429"/>
    </row>
    <row r="5" spans="1:8">
      <c r="A5" s="431" t="s">
        <v>3916</v>
      </c>
      <c r="B5" s="427" t="str">
        <f>IF(Application!F50="","Source of Boat Weight","")</f>
        <v>Source of Boat Weight</v>
      </c>
      <c r="C5" s="428"/>
      <c r="D5" s="429"/>
    </row>
    <row r="6" spans="1:8">
      <c r="A6" s="431" t="s">
        <v>408</v>
      </c>
      <c r="B6" s="427" t="str">
        <f>IF(Application!G87="","Source of rig data","")</f>
        <v>Source of rig data</v>
      </c>
      <c r="C6" s="428"/>
      <c r="D6" s="429"/>
    </row>
    <row r="7" spans="1:8">
      <c r="A7" s="431" t="s">
        <v>1499</v>
      </c>
      <c r="B7" s="427" t="str">
        <f>IF(Application!G97="","Source of sail data","")</f>
        <v>Source of sail data</v>
      </c>
      <c r="C7" s="428"/>
      <c r="D7" s="429"/>
    </row>
    <row r="8" spans="1:8">
      <c r="B8" s="432"/>
      <c r="D8" s="168"/>
    </row>
    <row r="9" spans="1:8">
      <c r="A9" s="434" t="s">
        <v>693</v>
      </c>
      <c r="B9" s="435" t="str">
        <f>IF(Application!C32="","Design","")</f>
        <v>Design</v>
      </c>
      <c r="C9" s="436"/>
      <c r="D9" s="437"/>
    </row>
    <row r="10" spans="1:8">
      <c r="A10" s="434" t="s">
        <v>426</v>
      </c>
      <c r="B10" s="435" t="str">
        <f>IF(Application!C37="","Series Date","")</f>
        <v>Series Date</v>
      </c>
      <c r="C10" s="436"/>
      <c r="D10" s="437"/>
    </row>
    <row r="11" spans="1:8">
      <c r="A11" s="434" t="s">
        <v>965</v>
      </c>
      <c r="B11" s="435" t="str">
        <f>IF(Application!C14="","Age Date","")</f>
        <v>Age Date</v>
      </c>
      <c r="C11" s="436" t="str">
        <f>IF(Application!C14&lt;Application!C37,"Age Date cannot be before Series Date","")</f>
        <v/>
      </c>
      <c r="D11" s="437"/>
    </row>
    <row r="12" spans="1:8">
      <c r="A12" s="434" t="s">
        <v>3298</v>
      </c>
      <c r="B12" s="435" t="str">
        <f>IF(Application!C305=1,"Hull Form","")</f>
        <v>Hull Form</v>
      </c>
      <c r="C12" s="456" t="str">
        <f>IF(Application!C305=4,"Check! only applies to full length hard chine","")</f>
        <v/>
      </c>
      <c r="D12" s="437"/>
    </row>
    <row r="13" spans="1:8">
      <c r="A13" s="434" t="s">
        <v>3243</v>
      </c>
      <c r="B13" s="435" t="str">
        <f>IF(Application!C306=1,"Keel Type","")</f>
        <v>Keel Type</v>
      </c>
      <c r="C13" s="436"/>
      <c r="D13" s="437"/>
    </row>
    <row r="14" spans="1:8">
      <c r="A14" s="434" t="s">
        <v>3303</v>
      </c>
      <c r="B14" s="435" t="str">
        <f>IF(Application!C307=1,"Single Fin Keel Shape","")</f>
        <v>Single Fin Keel Shape</v>
      </c>
      <c r="C14" s="436"/>
      <c r="D14" s="437"/>
    </row>
    <row r="15" spans="1:8">
      <c r="A15" s="434" t="s">
        <v>3891</v>
      </c>
      <c r="B15" s="435" t="str">
        <f>IF(Application!C308=1,"Rudder","")</f>
        <v>Rudder</v>
      </c>
      <c r="C15" s="436"/>
      <c r="D15" s="437"/>
    </row>
    <row r="16" spans="1:8">
      <c r="A16" s="434" t="s">
        <v>3304</v>
      </c>
      <c r="B16" s="435" t="str">
        <f>IF(Application!C309=1,"Hull Material","")</f>
        <v>Hull Material</v>
      </c>
      <c r="C16" s="436"/>
      <c r="D16" s="437"/>
    </row>
    <row r="17" spans="1:7">
      <c r="A17" s="434" t="s">
        <v>3893</v>
      </c>
      <c r="B17" s="435" t="str">
        <f>IF(Application!C310=1,"Accommodation","")</f>
        <v>Accommodation</v>
      </c>
      <c r="C17" s="436"/>
      <c r="D17" s="437"/>
    </row>
    <row r="18" spans="1:7">
      <c r="A18" s="434" t="s">
        <v>560</v>
      </c>
      <c r="B18" s="435" t="str">
        <f>IF(Application!C344=1,"Accommodation materials","")</f>
        <v>Accommodation materials</v>
      </c>
      <c r="C18" s="436"/>
      <c r="D18" s="437"/>
    </row>
    <row r="19" spans="1:7">
      <c r="B19" s="432"/>
      <c r="D19" s="168"/>
    </row>
    <row r="20" spans="1:7">
      <c r="A20" s="451" t="s">
        <v>562</v>
      </c>
      <c r="B20" s="452"/>
      <c r="C20" s="453"/>
      <c r="D20" s="454"/>
    </row>
    <row r="21" spans="1:7">
      <c r="A21" s="455" t="s">
        <v>3311</v>
      </c>
      <c r="B21" s="452" t="str">
        <f>IF(Application!D43="","LH","")</f>
        <v/>
      </c>
      <c r="C21" s="453"/>
      <c r="D21" s="454"/>
      <c r="E21" s="423" t="s">
        <v>971</v>
      </c>
    </row>
    <row r="22" spans="1:7">
      <c r="A22" s="455" t="s">
        <v>966</v>
      </c>
      <c r="B22" s="452" t="str">
        <f>IF(Application!D44="","BO","")</f>
        <v>BO</v>
      </c>
      <c r="C22" s="453" t="e">
        <f>IF(Application!D44/Application!D43&gt;0.15,"Very long BO","")</f>
        <v>#DIV/0!</v>
      </c>
      <c r="D22" s="454" t="e">
        <f>IF(Application!D44/Application!D43&gt;0.12,"BO Long","")</f>
        <v>#DIV/0!</v>
      </c>
    </row>
    <row r="23" spans="1:7">
      <c r="A23" s="455" t="s">
        <v>3909</v>
      </c>
      <c r="B23" s="452" t="str">
        <f>IF(Application!D45="","x","")</f>
        <v>x</v>
      </c>
      <c r="C23" s="453" t="str">
        <f>IF(Application!D46&gt;Application!D45,"h&gt;x. Wrong","")</f>
        <v/>
      </c>
      <c r="D23" s="454"/>
    </row>
    <row r="24" spans="1:7">
      <c r="A24" s="455" t="s">
        <v>3912</v>
      </c>
      <c r="B24" s="452" t="str">
        <f>IF(Application!D46="","h","")</f>
        <v>h</v>
      </c>
      <c r="C24" s="453" t="str">
        <f>IF(Application!D46&gt;Application!D45,"h&gt;x. Wrong","")</f>
        <v/>
      </c>
      <c r="D24" s="454"/>
      <c r="E24" s="423" t="s">
        <v>972</v>
      </c>
      <c r="F24" s="430" t="e">
        <f>OR(Application!D54/Application!D43&lt;0.18,Application!D54/Application!D43&gt;0.45)</f>
        <v>#DIV/0!</v>
      </c>
      <c r="G24" s="430" t="e">
        <f>OR(Application!D54/Application!D43&lt;0.25,Application!D54/Application!D43&gt;0.35)</f>
        <v>#DIV/0!</v>
      </c>
    </row>
    <row r="25" spans="1:7">
      <c r="A25" s="455" t="s">
        <v>967</v>
      </c>
      <c r="B25" s="452" t="str">
        <f>IF(Application!D47="","SO","")</f>
        <v>SO</v>
      </c>
      <c r="C25" s="453" t="e">
        <f>IF(Application!D47/Application!D43&gt;0.18,"Very long SO","")</f>
        <v>#DIV/0!</v>
      </c>
      <c r="D25" s="454" t="e">
        <f>IF(Application!D47/Application!D43&gt;0.13,"SO Long","")</f>
        <v>#DIV/0!</v>
      </c>
    </row>
    <row r="26" spans="1:7">
      <c r="A26" s="455" t="s">
        <v>3910</v>
      </c>
      <c r="B26" s="452" t="str">
        <f>IF(Application!D48="","y","")</f>
        <v>y</v>
      </c>
      <c r="C26" s="453" t="e">
        <f>IF(Application!D48/Application!D47&lt;0.1,"Very shallow run. ?y or SO?","")</f>
        <v>#DIV/0!</v>
      </c>
      <c r="D26" s="454" t="str">
        <f>IF(Application!D48&lt;0.03,"Low transom",IF(Application!D48/Application!D47&lt;0.13,"Shallow run. ?Y or SO?",""))</f>
        <v>Low transom</v>
      </c>
      <c r="E26" s="423" t="s">
        <v>974</v>
      </c>
      <c r="F26" s="430" t="b">
        <f>OR(Application!D55&gt;Application!D49*0.3,Application!D55&lt;Application!D49*0.1)</f>
        <v>0</v>
      </c>
      <c r="G26" s="430" t="b">
        <f>OR(Application!D55&gt;Application!D49*0.25,Application!D55&lt;Application!D49*0.15)</f>
        <v>0</v>
      </c>
    </row>
    <row r="27" spans="1:7">
      <c r="A27" s="455" t="s">
        <v>559</v>
      </c>
      <c r="B27" s="452" t="str">
        <f>IF(Application!D50="","Weight","")</f>
        <v>Weight</v>
      </c>
      <c r="C27" s="453" t="e">
        <f>IF((27.87*Application!D50)/(Application!D49^3)&gt;400,"Very heavy","")</f>
        <v>#DIV/0!</v>
      </c>
      <c r="D27" s="454" t="e">
        <f>IF((27.87*Application!D50)/(Application!D49^3)&gt;300,"Heavy","")</f>
        <v>#DIV/0!</v>
      </c>
    </row>
    <row r="28" spans="1:7">
      <c r="A28" s="455" t="s">
        <v>2941</v>
      </c>
      <c r="B28" s="452" t="str">
        <f>IF(Application!C324=1,"Internal ballast Yes/No","")</f>
        <v>Internal ballast Yes/No</v>
      </c>
      <c r="C28" s="453"/>
      <c r="D28" s="454" t="str">
        <f>IF(Application!C324=2,IF(Application!F53&lt;10,"Ballast quantity",""),"")</f>
        <v/>
      </c>
      <c r="E28" s="423" t="s">
        <v>197</v>
      </c>
      <c r="F28" s="430" t="b">
        <f>AND(Application!C307&gt;8,OR(Application!C312=1,Application!C312=5,))</f>
        <v>0</v>
      </c>
    </row>
    <row r="29" spans="1:7">
      <c r="A29" s="455" t="s">
        <v>2940</v>
      </c>
      <c r="B29" s="452" t="str">
        <f>IF(AND(Application!C324=2,Application!F53&lt;10),"Internal ballast quantity","")</f>
        <v/>
      </c>
      <c r="C29" s="453"/>
      <c r="D29" s="454"/>
    </row>
    <row r="30" spans="1:7">
      <c r="A30" s="455" t="s">
        <v>3922</v>
      </c>
      <c r="B30" s="452" t="str">
        <f>IF(Application!D54="","Beam","")</f>
        <v>Beam</v>
      </c>
      <c r="C30" s="453" t="e">
        <f>IF(F24=TRUE,"Very narrow or wide","")</f>
        <v>#DIV/0!</v>
      </c>
      <c r="D30" s="454" t="e">
        <f>IF(G24=TRUE,"Narrow or wide","")</f>
        <v>#DIV/0!</v>
      </c>
    </row>
    <row r="32" spans="1:7">
      <c r="A32" s="455" t="s">
        <v>973</v>
      </c>
      <c r="B32" s="452" t="str">
        <f>IF(Application!D55="","Draft","")</f>
        <v>Draft</v>
      </c>
      <c r="C32" s="453" t="str">
        <f>IF(F26=TRUE,"Very deep or shallow","")</f>
        <v/>
      </c>
      <c r="D32" s="454" t="str">
        <f>IF(G26=TRUE,"Deep or shallow","")</f>
        <v/>
      </c>
      <c r="E32" s="423" t="s">
        <v>977</v>
      </c>
      <c r="F32" s="430" t="e">
        <f>OR(Application!D88/Application!D87&lt;0.27,Application!D88/Application!D87&gt;0.43)</f>
        <v>#DIV/0!</v>
      </c>
      <c r="G32" s="430" t="e">
        <f>OR(Application!D88/Application!D87&lt;0.3,Application!D88/Application!D87&gt;0.39)</f>
        <v>#DIV/0!</v>
      </c>
    </row>
    <row r="33" spans="1:7">
      <c r="A33" s="455" t="s">
        <v>975</v>
      </c>
      <c r="B33" s="452" t="str">
        <f>IF(AND(OR(Application!C306=5,Application!C306=6,Application!C306=7),Application!D56&lt;0.01),"Minimum Draft","")</f>
        <v/>
      </c>
      <c r="C33" s="453"/>
      <c r="D33" s="454"/>
      <c r="E33" s="423" t="s">
        <v>978</v>
      </c>
      <c r="F33" s="430" t="e">
        <f>OR(Application!D89/Application!D43&lt;0.3,Application!D89/Application!D43&gt;0.43)</f>
        <v>#DIV/0!</v>
      </c>
      <c r="G33" s="430" t="e">
        <f>OR(Application!D89/Application!D43&lt;0.32,Application!D89/Application!D43&gt;0.42)</f>
        <v>#DIV/0!</v>
      </c>
    </row>
    <row r="34" spans="1:7">
      <c r="A34" s="455" t="s">
        <v>3797</v>
      </c>
      <c r="B34" s="452" t="str">
        <f>IF(AND(Application!D58="",F34=TRUE),"Wing span","")</f>
        <v/>
      </c>
      <c r="C34" s="453"/>
      <c r="D34" s="454"/>
      <c r="E34" s="423" t="s">
        <v>682</v>
      </c>
      <c r="F34" s="430" t="b">
        <f>Application!C307=14</f>
        <v>0</v>
      </c>
    </row>
    <row r="35" spans="1:7">
      <c r="A35" s="455" t="s">
        <v>1591</v>
      </c>
      <c r="B35" s="452" t="str">
        <f>IF(Application!C311=1,"Keel Fin Material","")</f>
        <v>Keel Fin Material</v>
      </c>
      <c r="C35" s="453"/>
      <c r="D35" s="454"/>
      <c r="F35" s="430" t="b">
        <f>OR(Application!D90&lt;Application!D87*0.7,Application!D90&gt;Application!D87*1.2)</f>
        <v>0</v>
      </c>
      <c r="G35" s="430" t="b">
        <f>OR(Application!D90&lt;Application!D87*0.8,Application!D90&gt;Application!D87*1.15)</f>
        <v>0</v>
      </c>
    </row>
    <row r="36" spans="1:7">
      <c r="A36" s="455" t="s">
        <v>2321</v>
      </c>
      <c r="B36" s="452" t="str">
        <f>IF(F28=TRUE,"Bulb Material","")</f>
        <v/>
      </c>
      <c r="C36" s="453"/>
      <c r="D36" s="455"/>
      <c r="E36" s="423" t="s">
        <v>979</v>
      </c>
      <c r="F36" s="430" t="b">
        <f>OR(Application!C315=3,Application!C315=4,Application!C315=7)</f>
        <v>0</v>
      </c>
      <c r="G36" s="430" t="b">
        <f>OR(Application!C315=2,Application!C315=3)</f>
        <v>0</v>
      </c>
    </row>
    <row r="37" spans="1:7">
      <c r="A37" s="455" t="s">
        <v>37</v>
      </c>
      <c r="B37" s="452" t="str">
        <f>IF(AND(Application!C307&gt;9,Application!D52=""),"Bulb weight","")</f>
        <v/>
      </c>
      <c r="C37" s="453" t="str">
        <f>IF(Application!D52&gt;Application!D50*0.75,"Very heavy bulb","")</f>
        <v/>
      </c>
      <c r="D37" s="454" t="str">
        <f>IF(Application!D52&gt;Application!D50*0.5,"Heavy bulb","")</f>
        <v/>
      </c>
      <c r="E37" s="430"/>
    </row>
    <row r="38" spans="1:7">
      <c r="A38" s="430"/>
      <c r="B38" s="438"/>
      <c r="D38" s="168"/>
      <c r="E38" s="430"/>
    </row>
    <row r="39" spans="1:7">
      <c r="A39" s="455" t="s">
        <v>3305</v>
      </c>
      <c r="B39" s="452" t="str">
        <f>IF(Application!C337=1,"Trim Tab","")</f>
        <v/>
      </c>
      <c r="C39" s="453"/>
      <c r="D39" s="454"/>
    </row>
    <row r="40" spans="1:7">
      <c r="A40" s="455" t="s">
        <v>3306</v>
      </c>
      <c r="B40" s="452" t="str">
        <f>IF(Application!C336=1,"Daggerboards","")</f>
        <v/>
      </c>
      <c r="C40" s="453"/>
      <c r="D40" s="454"/>
    </row>
    <row r="41" spans="1:7">
      <c r="A41" s="455" t="s">
        <v>4071</v>
      </c>
      <c r="B41" s="452" t="str">
        <f>IF(Application!C338=1,"Canard/forward rudder","")</f>
        <v/>
      </c>
      <c r="C41" s="453"/>
      <c r="D41" s="454"/>
      <c r="E41" s="423" t="s">
        <v>968</v>
      </c>
    </row>
    <row r="42" spans="1:7">
      <c r="A42" s="455" t="s">
        <v>2512</v>
      </c>
      <c r="B42" s="452" t="str">
        <f>IF(Application!C340=1,"Hull hollows","")</f>
        <v/>
      </c>
      <c r="C42" s="453"/>
      <c r="D42" s="454"/>
      <c r="E42" s="423" t="s">
        <v>976</v>
      </c>
    </row>
    <row r="43" spans="1:7">
      <c r="A43" s="455" t="s">
        <v>3307</v>
      </c>
      <c r="B43" s="452" t="str">
        <f>IF(Application!C334=1,"Batteries","")</f>
        <v>Batteries</v>
      </c>
      <c r="C43" s="453"/>
      <c r="D43" s="454"/>
      <c r="E43" s="423" t="s">
        <v>969</v>
      </c>
    </row>
    <row r="44" spans="1:7">
      <c r="A44" s="455" t="s">
        <v>1694</v>
      </c>
      <c r="B44" s="452" t="str">
        <f>IF(Application!C335=1,"Cushions","")</f>
        <v>Cushions</v>
      </c>
      <c r="C44" s="453"/>
      <c r="D44" s="454"/>
      <c r="E44" s="423" t="s">
        <v>970</v>
      </c>
    </row>
    <row r="45" spans="1:7">
      <c r="A45" s="455" t="s">
        <v>715</v>
      </c>
      <c r="B45" s="452" t="str">
        <f>IF(Application!C325=1,"Water ballast",IF(Application!C325=2,IF(Application!D169="","Water ballast quantity",""),""))</f>
        <v/>
      </c>
      <c r="C45" s="453" t="str">
        <f>IF(Application!C325=2,IF(Application!D169&gt;Application!D50*0.3,"Excessive water ballast",""),"")</f>
        <v/>
      </c>
      <c r="D45" s="454" t="str">
        <f>IF(Application!C325=2,IF(Application!D169&gt;Application!D50*0.2,"Lots of water ballast",""),"")</f>
        <v/>
      </c>
    </row>
    <row r="46" spans="1:7">
      <c r="A46" s="455" t="s">
        <v>2942</v>
      </c>
      <c r="B46" s="452" t="str">
        <f>IF(AND(Application!C306=10,Application!E172&lt;1),"Static angle of heel","")</f>
        <v/>
      </c>
      <c r="C46" s="453" t="str">
        <f>IF(Application!E172&gt;25,"Very high static heel angle","")</f>
        <v/>
      </c>
      <c r="D46" s="454" t="str">
        <f>IF(Application!E172&gt;20,"High static heel angle","")</f>
        <v/>
      </c>
      <c r="E46" s="423" t="s">
        <v>981</v>
      </c>
    </row>
    <row r="47" spans="1:7">
      <c r="B47" s="432"/>
      <c r="D47" s="168"/>
    </row>
    <row r="48" spans="1:7">
      <c r="A48" s="439" t="s">
        <v>561</v>
      </c>
      <c r="B48" s="440"/>
      <c r="C48" s="441"/>
      <c r="D48" s="442"/>
    </row>
    <row r="49" spans="1:7">
      <c r="A49" s="443" t="s">
        <v>389</v>
      </c>
      <c r="B49" s="440" t="str">
        <f>IF(Application!D87="","P","")</f>
        <v>P</v>
      </c>
      <c r="C49" s="441" t="e">
        <f>IF(Application!D87/Application!D43&lt;0.9,"Very short rig","")</f>
        <v>#DIV/0!</v>
      </c>
      <c r="D49" s="442" t="e">
        <f>IF(Application!D87/Application!D43&lt;1,"Short rig","")</f>
        <v>#DIV/0!</v>
      </c>
    </row>
    <row r="50" spans="1:7">
      <c r="A50" s="443" t="s">
        <v>391</v>
      </c>
      <c r="B50" s="440" t="str">
        <f>IF(Application!D88="","E","")</f>
        <v>E</v>
      </c>
      <c r="C50" s="441" t="e">
        <f>IF(F32=TRUE,"Very long/short E","")</f>
        <v>#DIV/0!</v>
      </c>
      <c r="D50" s="442" t="e">
        <f>IF(G32=TRUE,"Long/short E","")</f>
        <v>#DIV/0!</v>
      </c>
      <c r="E50" s="423" t="s">
        <v>1123</v>
      </c>
    </row>
    <row r="51" spans="1:7">
      <c r="A51" s="443" t="s">
        <v>394</v>
      </c>
      <c r="B51" s="440" t="str">
        <f>IF(Application!D89="","J","")</f>
        <v>J</v>
      </c>
      <c r="C51" s="441" t="e">
        <f>IF(F33=TRUE,"Very long/short J","")</f>
        <v>#DIV/0!</v>
      </c>
      <c r="D51" s="442" t="e">
        <f>IF(G33=TRUE,"Long/short J","")</f>
        <v>#DIV/0!</v>
      </c>
      <c r="E51" s="423" t="s">
        <v>1124</v>
      </c>
    </row>
    <row r="52" spans="1:7">
      <c r="A52" s="443" t="s">
        <v>397</v>
      </c>
      <c r="B52" s="440" t="str">
        <f>IF(Application!D90="","FL","")</f>
        <v>FL</v>
      </c>
      <c r="C52" s="441" t="str">
        <f>IF(F35=TRUE,"Very long/short FL","")</f>
        <v/>
      </c>
      <c r="D52" s="442" t="str">
        <f>IF(G35=TRUE,"Long/short FL","")</f>
        <v/>
      </c>
    </row>
    <row r="53" spans="1:7">
      <c r="A53" s="443" t="s">
        <v>980</v>
      </c>
      <c r="B53" s="440" t="str">
        <f>IF(OR(Application!D91="",Application!D91=0),"STL (always required if spinnaker carried)","")</f>
        <v>STL (always required if spinnaker carried)</v>
      </c>
      <c r="C53" s="441" t="str">
        <f>IF(Application!D91&gt;1.7*Application!D89,"Very long STL","")</f>
        <v/>
      </c>
      <c r="D53" s="442" t="str">
        <f>IF(Application!D91&gt;1.5*Application!D89,"Long STL","")</f>
        <v/>
      </c>
    </row>
    <row r="54" spans="1:7">
      <c r="A54" s="443" t="s">
        <v>2513</v>
      </c>
      <c r="B54" s="440" t="str">
        <f>IF(Application!C316=1,"Pole type","")</f>
        <v>Pole type</v>
      </c>
      <c r="C54" s="441"/>
      <c r="D54" s="442"/>
      <c r="E54" s="423" t="s">
        <v>1603</v>
      </c>
    </row>
    <row r="55" spans="1:7">
      <c r="A55" s="439" t="s">
        <v>564</v>
      </c>
      <c r="B55" s="440"/>
      <c r="C55" s="441"/>
      <c r="D55" s="442"/>
    </row>
    <row r="56" spans="1:7">
      <c r="A56" s="443" t="s">
        <v>390</v>
      </c>
      <c r="B56" s="440" t="str">
        <f>IF(F36=TRUE,IF(Application!D180="","Two masts. PY",""),"")</f>
        <v/>
      </c>
      <c r="C56" s="441" t="str">
        <f>IF(G36=TRUE,IF(Application!D181&gt;Application!D87,"Ketch/Yawl - PY&gt;P",""),IF(Application!C315=5,IF(Application!D180&lt;Application!D87,"Schooner - P&lt;PY",""),""))</f>
        <v/>
      </c>
      <c r="D56" s="442"/>
      <c r="E56" s="423" t="s">
        <v>1125</v>
      </c>
      <c r="F56" s="430" t="b">
        <f>OR(Application!D99&lt;Application!D89,Application!D99&gt;1.6*Application!D89)</f>
        <v>0</v>
      </c>
      <c r="G56" s="430" t="b">
        <f>OR(Application!D99&lt;Application!D89,Application!D99&gt;1.55*Application!D89)</f>
        <v>0</v>
      </c>
    </row>
    <row r="57" spans="1:7">
      <c r="A57" s="443" t="s">
        <v>392</v>
      </c>
      <c r="B57" s="440" t="str">
        <f>IF(Validation!F36=TRUE,IF(Application!D181="","Two masts. EY",""),"")</f>
        <v/>
      </c>
      <c r="C57" s="441"/>
      <c r="D57" s="442"/>
    </row>
    <row r="58" spans="1:7">
      <c r="B58" s="432"/>
      <c r="D58" s="168"/>
    </row>
    <row r="59" spans="1:7">
      <c r="A59" s="439" t="s">
        <v>565</v>
      </c>
      <c r="B59" s="440"/>
      <c r="C59" s="441"/>
      <c r="D59" s="442"/>
    </row>
    <row r="60" spans="1:7">
      <c r="A60" s="443" t="s">
        <v>982</v>
      </c>
      <c r="B60" s="440" t="str">
        <f>IF(Application!C315&lt;&gt;6,IF(Application!D97="","LLmax",""),"")</f>
        <v>LLmax</v>
      </c>
      <c r="C60" s="441" t="str">
        <f>IF(Application!D97&lt;Application!D98,"Llmax &lt; LL!",IF(Application!D97&lt;0.8*Application!D90,"Very short LLmax",""))</f>
        <v/>
      </c>
      <c r="D60" s="442" t="str">
        <f>IF(Application!D97&lt;0.9*Application!D90,"Short LLmax",IF(Application!D97&gt;Application!D90,"Llmax &gt; FL",""))</f>
        <v/>
      </c>
      <c r="E60" s="423" t="s">
        <v>1606</v>
      </c>
    </row>
    <row r="61" spans="1:7">
      <c r="A61" s="443" t="s">
        <v>1109</v>
      </c>
      <c r="B61" s="440" t="str">
        <f>IF(Application!C315&lt;&gt;6,IF(Application!D98="","LL",""),"")</f>
        <v>LL</v>
      </c>
      <c r="C61" s="441" t="str">
        <f>IF(Application!D98&lt;0.8*Application!D90,"Very short LL","")</f>
        <v/>
      </c>
      <c r="D61" s="442" t="str">
        <f>IF(Application!D98&lt;0.9*Application!D90,"Short LL",IF(Application!D98&gt;Application!D90,"LL &gt; FL",""))</f>
        <v/>
      </c>
      <c r="E61" s="423" t="s">
        <v>1605</v>
      </c>
    </row>
    <row r="62" spans="1:7">
      <c r="A62" s="443" t="s">
        <v>173</v>
      </c>
      <c r="B62" s="440"/>
      <c r="C62" s="441"/>
      <c r="D62" s="442" t="e">
        <f>IF(Application!D97/Application!D90&gt;0.97, "LLmax &gt; 0.97*FL. Plesae check FL and/or LLmax","")</f>
        <v>#DIV/0!</v>
      </c>
      <c r="E62" s="423" t="s">
        <v>1604</v>
      </c>
    </row>
    <row r="63" spans="1:7">
      <c r="A63" s="443" t="s">
        <v>1110</v>
      </c>
      <c r="B63" s="440" t="str">
        <f>IF(Application!C315&lt;&gt;6,IF(Application!D99="","LP",""),"")</f>
        <v>LP</v>
      </c>
      <c r="C63" s="441" t="str">
        <f>IF(F56=TRUE,"Very long or short LP","")</f>
        <v/>
      </c>
      <c r="D63" s="442" t="str">
        <f>IF(G56=TRUE,"Long or short LP","")</f>
        <v/>
      </c>
      <c r="E63" s="423" t="s">
        <v>1610</v>
      </c>
      <c r="F63" s="430" t="b">
        <f>AND(Application!D107&gt;0,Application!F111&lt;10,Application!F112&lt;10)</f>
        <v>0</v>
      </c>
    </row>
    <row r="64" spans="1:7">
      <c r="A64" s="443" t="s">
        <v>2555</v>
      </c>
      <c r="B64" s="440" t="str">
        <f>IF(Application!C315&lt;&gt;6,IF(Application!D102="","HUW",""))</f>
        <v>HUW</v>
      </c>
      <c r="C64" s="441" t="e">
        <f>IF(Application!D102/Application!D99&gt;0.15,"Very large HUW","")</f>
        <v>#DIV/0!</v>
      </c>
      <c r="D64" s="442" t="str">
        <f>IF(Application!D102&gt;0.125*Application!D99,"HUW &gt; 12.5% of LP","")</f>
        <v/>
      </c>
      <c r="E64" s="423" t="s">
        <v>21</v>
      </c>
      <c r="F64" s="430" t="b">
        <f>AND(Application!D109&gt;0.01,Application!D110&gt;0.01,Application!D111&gt;0.01,Application!D112&lt;0.01)</f>
        <v>0</v>
      </c>
    </row>
    <row r="65" spans="1:6">
      <c r="A65" s="443" t="s">
        <v>195</v>
      </c>
      <c r="B65" s="440" t="str">
        <f>IF(Application!C315&lt;&gt;6,IF(Application!D101="","HTW",""))</f>
        <v>HTW</v>
      </c>
      <c r="C65" s="441" t="e">
        <f>IF(Application!D101/Application!D99&gt;0.3,"Very large HTW","")</f>
        <v>#DIV/0!</v>
      </c>
      <c r="D65" s="442" t="str">
        <f>IF(Application!D101&gt;0.251*Application!D99,"HTW &gt; 25% of LP","")</f>
        <v/>
      </c>
      <c r="E65" s="423" t="s">
        <v>1610</v>
      </c>
      <c r="F65" s="430" t="b">
        <f>AND(Application!D108&gt;0,Application!F115&lt;10,Application!F116&lt;10)</f>
        <v>0</v>
      </c>
    </row>
    <row r="66" spans="1:6">
      <c r="A66" s="443" t="s">
        <v>1126</v>
      </c>
      <c r="B66" s="440" t="str">
        <f>IF(Application!C315&lt;6,IF(Application!D100="","HHW",""),"")</f>
        <v>HHW</v>
      </c>
      <c r="C66" s="441" t="str">
        <f>IF(Application!D100&gt;0.75*Application!D99,"HHW &gt; 75% of LP. ?Spinnaker?",IF(Application!D102&gt;0.6*Application!D99,"Very large HHW",""))</f>
        <v/>
      </c>
      <c r="D66" s="442" t="str">
        <f>IF(Application!D100&gt;0.501*Application!D99,"HHW &gt; 50% of LP","")</f>
        <v/>
      </c>
      <c r="E66" s="423" t="s">
        <v>21</v>
      </c>
      <c r="F66" s="430" t="b">
        <f>AND(Application!D113&gt;0.01,Application!D114&gt;0.01,Application!D115&gt;0.01,Application!D116&lt;0.01)</f>
        <v>0</v>
      </c>
    </row>
    <row r="67" spans="1:6">
      <c r="A67" s="443" t="s">
        <v>1507</v>
      </c>
      <c r="B67" s="440" t="str">
        <f>IF(Application!D104="","MUW","")</f>
        <v>MUW</v>
      </c>
      <c r="C67" s="441" t="str">
        <f>IF(OR(Application!D104&gt;0.35*Application!D88,Application!D104&lt;0.1*Application!D88),"Very large or small MUW - check","")</f>
        <v/>
      </c>
      <c r="D67" s="442" t="str">
        <f>IF(Application!D104&gt;ROUND(0.22*Application!D88,2),"MUW &gt; 0.22E","")</f>
        <v/>
      </c>
    </row>
    <row r="68" spans="1:6">
      <c r="A68" s="443" t="s">
        <v>1506</v>
      </c>
      <c r="B68" s="440" t="str">
        <f>IF(Application!D105="","MTW","")</f>
        <v>MTW</v>
      </c>
      <c r="C68" s="441" t="str">
        <f>IF(OR(Application!D105&gt;0.5*Application!D88,Application!D105&lt;0.15*Application!D88),"Very large or small MTW - check","")</f>
        <v/>
      </c>
      <c r="D68" s="442" t="str">
        <f>IF(Application!D105&gt;ROUND(0.38*Application!D88,2),"MTW &gt; 0.38E","")</f>
        <v/>
      </c>
    </row>
    <row r="69" spans="1:6">
      <c r="A69" s="443" t="s">
        <v>1504</v>
      </c>
      <c r="B69" s="440" t="str">
        <f>IF(Application!D106="","MHW","")</f>
        <v>MHW</v>
      </c>
      <c r="C69" s="441" t="str">
        <f>IF(OR(Application!D106&gt;0.8*Application!D88,Application!D106&lt;0.4*Application!D88),"Very large or small MHW - check","")</f>
        <v/>
      </c>
      <c r="D69" s="442" t="str">
        <f>IF(Application!D106&gt;ROUND(0.65*Application!D88,2),"MHW &gt; 0.65E","")</f>
        <v/>
      </c>
    </row>
    <row r="70" spans="1:6">
      <c r="A70" s="443" t="s">
        <v>1608</v>
      </c>
      <c r="B70" s="440" t="str">
        <f>IF(F63=TRUE,"SPA or symmetric dimensions","")</f>
        <v/>
      </c>
      <c r="C70" s="441"/>
      <c r="D70" s="442"/>
    </row>
    <row r="71" spans="1:6">
      <c r="A71" s="443" t="s">
        <v>1609</v>
      </c>
      <c r="B71" s="440" t="str">
        <f>IF(F64=TRUE,"Incomplete data","")</f>
        <v/>
      </c>
      <c r="C71" s="441" t="str">
        <f>IF(Application!D112&lt;0.75*Application!D111,"SHW &lt; 75% of SF. ?Headsail?",IF(Application!D112&gt;1.25*Application!D111,"SHW&gt;125% of SF. ?Data?",""))</f>
        <v/>
      </c>
      <c r="D71" s="442"/>
    </row>
    <row r="72" spans="1:6">
      <c r="A72" s="443" t="s">
        <v>1611</v>
      </c>
      <c r="B72" s="440" t="str">
        <f>IF(F65=TRUE,"SPA or asymmetric dimensions","")</f>
        <v/>
      </c>
      <c r="C72" s="441"/>
      <c r="D72" s="442"/>
    </row>
    <row r="73" spans="1:6">
      <c r="A73" s="443" t="s">
        <v>1612</v>
      </c>
      <c r="B73" s="440" t="str">
        <f>IF(F66=TRUE,"Incomplete data","")</f>
        <v/>
      </c>
      <c r="C73" s="441" t="str">
        <f>IF(Application!D116&lt;0.75*Application!D115,"SHW &lt; 75% of SF. ?Headsail?",IF(Application!D116&gt;1.25*Application!D115,"ASHW&gt;125% of ASF. ?Data?",""))</f>
        <v/>
      </c>
      <c r="D73" s="442"/>
    </row>
    <row r="74" spans="1:6">
      <c r="A74" s="443" t="s">
        <v>566</v>
      </c>
      <c r="B74" s="440" t="str">
        <f>IF(AND(Inputs!CD3&gt;0,Inputs!BN3=0),"No. of spinnakers","")</f>
        <v/>
      </c>
      <c r="C74" s="441"/>
      <c r="D74" s="442" t="str">
        <f>IF(Inputs!BN10&gt;3,"More than 3 spinnakers","")</f>
        <v/>
      </c>
    </row>
    <row r="75" spans="1:6">
      <c r="A75" s="443" t="s">
        <v>2521</v>
      </c>
      <c r="B75" s="440" t="str">
        <f>IF(Application!C94="","Sailmaker","")</f>
        <v>Sailmaker</v>
      </c>
      <c r="C75" s="441"/>
      <c r="D75" s="442"/>
    </row>
    <row r="77" spans="1:6">
      <c r="A77" s="444" t="s">
        <v>571</v>
      </c>
      <c r="B77" s="445"/>
      <c r="C77" s="446"/>
      <c r="D77" s="447"/>
    </row>
    <row r="78" spans="1:6">
      <c r="A78" s="447" t="s">
        <v>2452</v>
      </c>
      <c r="B78" s="448" t="str">
        <f>IF(Application!C317=1,"Mast material","")</f>
        <v>Mast material</v>
      </c>
      <c r="C78" s="446"/>
      <c r="D78" s="449"/>
    </row>
    <row r="79" spans="1:6">
      <c r="A79" s="447" t="s">
        <v>1613</v>
      </c>
      <c r="B79" s="448" t="str">
        <f>IF(Application!D130&lt;1, "Spreaders","")</f>
        <v>Spreaders</v>
      </c>
      <c r="C79" s="446"/>
      <c r="D79" s="449" t="e">
        <f>IF(Application!D43^1.3/Application!D130&lt;8,"Check spreader Nos.","")</f>
        <v>#DIV/0!</v>
      </c>
      <c r="E79" s="423" t="s">
        <v>1616</v>
      </c>
      <c r="F79" s="430" t="b">
        <f>AND(Application!C328,Application!D99&lt;1.3*Application!D89)</f>
        <v>0</v>
      </c>
    </row>
    <row r="80" spans="1:6">
      <c r="A80" s="447" t="s">
        <v>1614</v>
      </c>
      <c r="B80" s="448" t="str">
        <f>IF(Application!D131="", "Jumpers","")</f>
        <v>Jumpers</v>
      </c>
      <c r="C80" s="446" t="str">
        <f>IF(Application!D131&gt;1,"Check No. of jumpers","")</f>
        <v/>
      </c>
      <c r="D80" s="447"/>
    </row>
    <row r="81" spans="1:7">
      <c r="A81" s="447" t="s">
        <v>4451</v>
      </c>
      <c r="B81" s="448" t="str">
        <f>IF(Application!D132="", "Aft rigging","")</f>
        <v>Aft rigging</v>
      </c>
      <c r="C81" s="446" t="str">
        <f>IF(Application!D132&gt;1,"Check No. of stays","")</f>
        <v/>
      </c>
      <c r="D81" s="449"/>
    </row>
    <row r="82" spans="1:7">
      <c r="A82" s="447" t="s">
        <v>2514</v>
      </c>
      <c r="B82" s="448" t="str">
        <f>IF(Application!C318=1,"Spreader sweep","")</f>
        <v>Spreader sweep</v>
      </c>
      <c r="C82" s="446"/>
      <c r="D82" s="449"/>
    </row>
    <row r="83" spans="1:7">
      <c r="A83" s="447" t="s">
        <v>2515</v>
      </c>
      <c r="B83" s="448" t="str">
        <f>IF(Application!C327=1,"Unusual rig features","")</f>
        <v>Unusual rig features</v>
      </c>
      <c r="C83" s="446"/>
      <c r="D83" s="449"/>
    </row>
    <row r="84" spans="1:7">
      <c r="A84" s="447" t="s">
        <v>2516</v>
      </c>
      <c r="B84" s="448" t="str">
        <f>IF(Application!C321=1,"Standing rigging material","")</f>
        <v>Standing rigging material</v>
      </c>
      <c r="C84" s="446"/>
      <c r="D84" s="449"/>
    </row>
    <row r="85" spans="1:7">
      <c r="A85" s="447" t="s">
        <v>1615</v>
      </c>
      <c r="B85" s="448" t="str">
        <f>IF(Application!C328=1,"Furling headsail Yes/No","")</f>
        <v>Furling headsail Yes/No</v>
      </c>
      <c r="C85" s="446"/>
      <c r="D85" s="449" t="str">
        <f>IF(F79=TRUE,"LP &lt; 130% of J","")</f>
        <v/>
      </c>
      <c r="E85" s="423" t="s">
        <v>1618</v>
      </c>
      <c r="F85" s="430" t="b">
        <f>AND(Application!C319&gt;2,Application!F146="")</f>
        <v>0</v>
      </c>
      <c r="G85" s="430" t="b">
        <f>OR(AND(Application!C319=3,Application!F146&gt;40),AND(Application!C319=4,Application!F146&lt;50))</f>
        <v>0</v>
      </c>
    </row>
    <row r="86" spans="1:7">
      <c r="A86" s="447" t="s">
        <v>2556</v>
      </c>
      <c r="B86" s="448" t="str">
        <f>IF(Application!C364=1,"Total no of headsails","")</f>
        <v>Total no of headsails</v>
      </c>
      <c r="C86" s="446"/>
      <c r="D86" s="449"/>
    </row>
    <row r="87" spans="1:7">
      <c r="A87" s="447" t="s">
        <v>2520</v>
      </c>
      <c r="B87" s="448" t="str">
        <f>IF(Application!C331=1,"Heavy Weather jib Yes/No","")</f>
        <v>Heavy Weather jib Yes/No</v>
      </c>
      <c r="C87" s="446"/>
      <c r="D87" s="449"/>
    </row>
    <row r="88" spans="1:7">
      <c r="A88" s="447" t="s">
        <v>2517</v>
      </c>
      <c r="B88" s="448" t="str">
        <f>IF(Application!C333=1,"In-mast furling","")</f>
        <v>In-mast furling</v>
      </c>
      <c r="C88" s="446"/>
      <c r="D88" s="449"/>
    </row>
    <row r="89" spans="1:7">
      <c r="B89" s="432"/>
      <c r="D89" s="168"/>
    </row>
    <row r="90" spans="1:7">
      <c r="A90" s="431" t="s">
        <v>2461</v>
      </c>
      <c r="B90" s="427" t="str">
        <f>IF(Application!C329=1,"Dayboat","")</f>
        <v>Dayboat</v>
      </c>
      <c r="C90" s="428"/>
      <c r="D90" s="429"/>
    </row>
    <row r="91" spans="1:7">
      <c r="A91" s="431" t="s">
        <v>2462</v>
      </c>
      <c r="B91" s="427" t="str">
        <f>IF(Application!C330=1,"Guardrails","")</f>
        <v>Guardrails</v>
      </c>
      <c r="C91" s="428"/>
      <c r="D91" s="429"/>
    </row>
    <row r="92" spans="1:7">
      <c r="B92" s="432"/>
      <c r="D92" s="168"/>
    </row>
    <row r="93" spans="1:7">
      <c r="A93" s="431" t="s">
        <v>1617</v>
      </c>
      <c r="B93" s="427" t="str">
        <f>IF(Application!C319=1,"Engine type",IF(AND(Application!C319&gt;2,Application!F146=""),"Engine weight",""))</f>
        <v>Engine type</v>
      </c>
      <c r="C93" s="428" t="str">
        <f>IF(G85=TRUE,"Engine weight/type inconsistent","")</f>
        <v/>
      </c>
      <c r="D93" s="429"/>
    </row>
    <row r="94" spans="1:7">
      <c r="A94" s="431" t="s">
        <v>568</v>
      </c>
      <c r="B94" s="427" t="str">
        <f>IF(AND(Application!C319=4,Application!C320=1),"Propeller type","")</f>
        <v/>
      </c>
      <c r="C94" s="428"/>
      <c r="D94" s="429"/>
    </row>
    <row r="95" spans="1:7">
      <c r="A95" s="431" t="s">
        <v>567</v>
      </c>
      <c r="B95" s="427" t="str">
        <f>IF(AND(Application!C320=4,Application!C341=1),"No. of propellers","")</f>
        <v/>
      </c>
      <c r="C95" s="428" t="str">
        <f>IF(AND(Application!$D$43&lt;18,Application!$D$43&gt;0.01,Application!$C$341=3),"Twin props unlikely, check input","")</f>
        <v/>
      </c>
      <c r="D95" s="429"/>
    </row>
    <row r="97" spans="1:4">
      <c r="A97" s="431" t="s">
        <v>3776</v>
      </c>
      <c r="B97" s="427" t="str">
        <f>IF(Application!C347=1,"Stored Power","")</f>
        <v/>
      </c>
      <c r="C97" s="428"/>
      <c r="D97" s="429"/>
    </row>
    <row r="98" spans="1:4">
      <c r="A98" s="431" t="s">
        <v>569</v>
      </c>
      <c r="B98" s="427" t="str">
        <f>IF(Application!C350=1,"Mast foot adjustment","")</f>
        <v/>
      </c>
      <c r="C98" s="428"/>
      <c r="D98" s="429"/>
    </row>
    <row r="99" spans="1:4">
      <c r="A99" s="431" t="s">
        <v>570</v>
      </c>
      <c r="B99" s="427" t="str">
        <f>IF(Application!C351=1,"Forestay adjustment","")</f>
        <v/>
      </c>
      <c r="C99" s="428"/>
      <c r="D99" s="429"/>
    </row>
    <row r="100" spans="1:4">
      <c r="A100" s="431" t="s">
        <v>2518</v>
      </c>
      <c r="B100" s="427" t="str">
        <f>IF(Application!C348=1,"Spec changes","")</f>
        <v>Spec changes</v>
      </c>
      <c r="C100" s="428"/>
      <c r="D100" s="429"/>
    </row>
    <row r="101" spans="1:4">
      <c r="A101" s="431" t="s">
        <v>877</v>
      </c>
      <c r="B101" s="427" t="str">
        <f>IF(AND(Application!C370=2,Application!F194=""),"No. of doors removed","")</f>
        <v/>
      </c>
      <c r="C101" s="428"/>
      <c r="D101" s="429"/>
    </row>
    <row r="102" spans="1:4">
      <c r="B102" s="432"/>
      <c r="D102" s="168"/>
    </row>
    <row r="103" spans="1:4">
      <c r="A103" s="431" t="s">
        <v>2519</v>
      </c>
      <c r="B103" s="427" t="str">
        <f>IF(Application!C332=FALSE,"Please tick declaration","")</f>
        <v>Please tick declaration</v>
      </c>
      <c r="C103" s="428"/>
      <c r="D103" s="429"/>
    </row>
    <row r="104" spans="1:4">
      <c r="A104" s="431" t="s">
        <v>1793</v>
      </c>
      <c r="B104" s="427" t="str">
        <f>IF(Application!C355=1,"Rating Authority","")</f>
        <v/>
      </c>
      <c r="C104" s="428"/>
      <c r="D104" s="429"/>
    </row>
    <row r="105" spans="1:4">
      <c r="A105" s="431" t="s">
        <v>4079</v>
      </c>
      <c r="B105" s="427" t="str">
        <f>IF(Application!C356=1,"Area/Country","")</f>
        <v>Area/Country</v>
      </c>
      <c r="C105" s="428"/>
      <c r="D105" s="429"/>
    </row>
    <row r="106" spans="1:4">
      <c r="B106" s="432"/>
      <c r="D106" s="168"/>
    </row>
    <row r="107" spans="1:4">
      <c r="B107" s="432"/>
      <c r="D107" s="168"/>
    </row>
    <row r="108" spans="1:4">
      <c r="B108" s="432"/>
      <c r="D108" s="168"/>
    </row>
    <row r="109" spans="1:4">
      <c r="B109" s="432"/>
      <c r="D109" s="168"/>
    </row>
    <row r="110" spans="1:4">
      <c r="B110" s="432"/>
      <c r="D110" s="168"/>
    </row>
    <row r="111" spans="1:4">
      <c r="B111" s="432"/>
      <c r="D111" s="168"/>
    </row>
    <row r="112" spans="1:4">
      <c r="B112" s="432"/>
      <c r="D112" s="168"/>
    </row>
    <row r="113" spans="2:4">
      <c r="B113" s="432"/>
      <c r="D113" s="168"/>
    </row>
    <row r="114" spans="2:4">
      <c r="B114" s="432"/>
      <c r="D114" s="168"/>
    </row>
    <row r="115" spans="2:4">
      <c r="B115" s="432"/>
      <c r="D115" s="168"/>
    </row>
  </sheetData>
  <sheetProtection password="C620" sheet="1"/>
  <phoneticPr fontId="19" type="noConversion"/>
  <pageMargins left="0.75" right="0.25" top="0.73" bottom="0.41" header="0.22" footer="0.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defaultRowHeight="12.75"/>
  <cols>
    <col min="7" max="7" width="32.7109375" customWidth="1"/>
  </cols>
  <sheetData>
    <row r="1" spans="1:15" ht="30.75" customHeight="1">
      <c r="A1" s="955" t="s">
        <v>4399</v>
      </c>
      <c r="B1" s="955"/>
      <c r="C1" s="955"/>
      <c r="D1" s="955"/>
      <c r="E1" s="955"/>
      <c r="F1" s="955"/>
      <c r="G1" s="955"/>
    </row>
    <row r="5" spans="1:15">
      <c r="J5" s="965" t="s">
        <v>4194</v>
      </c>
      <c r="K5" s="966"/>
      <c r="L5" s="966"/>
      <c r="M5" s="966"/>
      <c r="N5" s="967"/>
    </row>
    <row r="6" spans="1:15" ht="18" customHeight="1">
      <c r="J6" s="968" t="s">
        <v>1918</v>
      </c>
      <c r="K6" s="968"/>
      <c r="L6" s="968"/>
      <c r="M6" s="968"/>
      <c r="N6" s="968"/>
      <c r="O6" s="166"/>
    </row>
    <row r="7" spans="1:15">
      <c r="J7" s="968"/>
      <c r="K7" s="968"/>
      <c r="L7" s="968"/>
      <c r="M7" s="968"/>
      <c r="N7" s="968"/>
      <c r="O7" s="166"/>
    </row>
    <row r="8" spans="1:15">
      <c r="J8" s="968"/>
      <c r="K8" s="968"/>
      <c r="L8" s="968"/>
      <c r="M8" s="968"/>
      <c r="N8" s="968"/>
      <c r="O8" s="166"/>
    </row>
    <row r="9" spans="1:15">
      <c r="J9" s="968"/>
      <c r="K9" s="968"/>
      <c r="L9" s="968"/>
      <c r="M9" s="968"/>
      <c r="N9" s="968"/>
      <c r="O9" s="166"/>
    </row>
    <row r="10" spans="1:15">
      <c r="J10" s="968"/>
      <c r="K10" s="968"/>
      <c r="L10" s="968"/>
      <c r="M10" s="968"/>
      <c r="N10" s="968"/>
      <c r="O10" s="166"/>
    </row>
    <row r="11" spans="1:15">
      <c r="J11" s="968"/>
      <c r="K11" s="968"/>
      <c r="L11" s="968"/>
      <c r="M11" s="968"/>
      <c r="N11" s="968"/>
      <c r="O11" s="166"/>
    </row>
    <row r="12" spans="1:15">
      <c r="J12" s="968"/>
      <c r="K12" s="968"/>
      <c r="L12" s="968"/>
      <c r="M12" s="968"/>
      <c r="N12" s="968"/>
      <c r="O12" s="166"/>
    </row>
    <row r="13" spans="1:15" ht="16.5" customHeight="1">
      <c r="O13" s="166"/>
    </row>
    <row r="14" spans="1:15">
      <c r="J14" s="969" t="s">
        <v>1919</v>
      </c>
      <c r="K14" s="970"/>
      <c r="L14" s="970"/>
      <c r="M14" s="970"/>
      <c r="N14" s="971"/>
    </row>
    <row r="15" spans="1:15">
      <c r="J15" s="972"/>
      <c r="K15" s="973"/>
      <c r="L15" s="973"/>
      <c r="M15" s="973"/>
      <c r="N15" s="974"/>
    </row>
    <row r="16" spans="1:15">
      <c r="J16" s="972"/>
      <c r="K16" s="973"/>
      <c r="L16" s="973"/>
      <c r="M16" s="973"/>
      <c r="N16" s="974"/>
    </row>
    <row r="17" spans="10:14">
      <c r="J17" s="972"/>
      <c r="K17" s="973"/>
      <c r="L17" s="973"/>
      <c r="M17" s="973"/>
      <c r="N17" s="974"/>
    </row>
    <row r="18" spans="10:14">
      <c r="J18" s="972"/>
      <c r="K18" s="973"/>
      <c r="L18" s="973"/>
      <c r="M18" s="973"/>
      <c r="N18" s="974"/>
    </row>
    <row r="19" spans="10:14">
      <c r="J19" s="972"/>
      <c r="K19" s="973"/>
      <c r="L19" s="973"/>
      <c r="M19" s="973"/>
      <c r="N19" s="974"/>
    </row>
    <row r="20" spans="10:14">
      <c r="J20" s="972"/>
      <c r="K20" s="973"/>
      <c r="L20" s="973"/>
      <c r="M20" s="973"/>
      <c r="N20" s="974"/>
    </row>
    <row r="21" spans="10:14">
      <c r="J21" s="972"/>
      <c r="K21" s="973"/>
      <c r="L21" s="973"/>
      <c r="M21" s="973"/>
      <c r="N21" s="974"/>
    </row>
    <row r="22" spans="10:14">
      <c r="J22" s="972"/>
      <c r="K22" s="973"/>
      <c r="L22" s="973"/>
      <c r="M22" s="973"/>
      <c r="N22" s="974"/>
    </row>
    <row r="23" spans="10:14">
      <c r="J23" s="975"/>
      <c r="K23" s="976"/>
      <c r="L23" s="976"/>
      <c r="M23" s="976"/>
      <c r="N23" s="977"/>
    </row>
    <row r="24" spans="10:14">
      <c r="J24" s="166"/>
      <c r="K24" s="166"/>
      <c r="L24" s="166"/>
      <c r="M24" s="166"/>
      <c r="N24" s="166"/>
    </row>
    <row r="26" spans="10:14">
      <c r="J26" s="978" t="s">
        <v>1549</v>
      </c>
      <c r="K26" s="979"/>
      <c r="L26" s="979"/>
      <c r="M26" s="979"/>
      <c r="N26" s="980"/>
    </row>
    <row r="27" spans="10:14">
      <c r="J27" s="981"/>
      <c r="K27" s="982"/>
      <c r="L27" s="982"/>
      <c r="M27" s="982"/>
      <c r="N27" s="983"/>
    </row>
    <row r="28" spans="10:14">
      <c r="J28" s="981"/>
      <c r="K28" s="982"/>
      <c r="L28" s="982"/>
      <c r="M28" s="982"/>
      <c r="N28" s="983"/>
    </row>
    <row r="29" spans="10:14">
      <c r="J29" s="984"/>
      <c r="K29" s="985"/>
      <c r="L29" s="985"/>
      <c r="M29" s="985"/>
      <c r="N29" s="986"/>
    </row>
    <row r="31" spans="10:14">
      <c r="J31" s="956" t="s">
        <v>4372</v>
      </c>
      <c r="K31" s="957"/>
      <c r="L31" s="957"/>
      <c r="M31" s="957"/>
      <c r="N31" s="958"/>
    </row>
    <row r="32" spans="10:14">
      <c r="J32" s="959"/>
      <c r="K32" s="960"/>
      <c r="L32" s="960"/>
      <c r="M32" s="960"/>
      <c r="N32" s="961"/>
    </row>
    <row r="33" spans="10:14">
      <c r="J33" s="959"/>
      <c r="K33" s="960"/>
      <c r="L33" s="960"/>
      <c r="M33" s="960"/>
      <c r="N33" s="961"/>
    </row>
    <row r="34" spans="10:14">
      <c r="J34" s="962"/>
      <c r="K34" s="963"/>
      <c r="L34" s="963"/>
      <c r="M34" s="963"/>
      <c r="N34" s="964"/>
    </row>
    <row r="37" spans="10:14" ht="20.25">
      <c r="J37" s="168"/>
      <c r="L37" s="167"/>
    </row>
  </sheetData>
  <sheetProtection password="C620" sheet="1" objects="1" scenarios="1"/>
  <mergeCells count="6">
    <mergeCell ref="A1:G1"/>
    <mergeCell ref="J31:N34"/>
    <mergeCell ref="J5:N5"/>
    <mergeCell ref="J6:N12"/>
    <mergeCell ref="J14:N23"/>
    <mergeCell ref="J26:N29"/>
  </mergeCells>
  <phoneticPr fontId="19"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J12" sqref="J12"/>
    </sheetView>
  </sheetViews>
  <sheetFormatPr defaultColWidth="14.7109375" defaultRowHeight="11.25"/>
  <cols>
    <col min="1" max="2" width="21" style="1" customWidth="1"/>
    <col min="3" max="3" width="22.42578125" style="7" bestFit="1" customWidth="1"/>
    <col min="4" max="4" width="6" style="7" bestFit="1" customWidth="1"/>
    <col min="5" max="5" width="10.5703125" style="3" bestFit="1" customWidth="1"/>
    <col min="6" max="6" width="4.42578125" style="3" bestFit="1" customWidth="1"/>
    <col min="7" max="7" width="5.28515625" style="3" bestFit="1" customWidth="1"/>
    <col min="8" max="8" width="4" style="3" bestFit="1" customWidth="1"/>
    <col min="9" max="16384" width="14.7109375" style="1"/>
  </cols>
  <sheetData>
    <row r="1" spans="1:10" ht="12.75">
      <c r="A1" s="997" t="s">
        <v>220</v>
      </c>
      <c r="B1" s="997"/>
      <c r="C1" s="997"/>
      <c r="D1" s="997"/>
      <c r="E1" s="997"/>
      <c r="F1" s="997"/>
      <c r="G1" s="540"/>
      <c r="H1" s="540"/>
      <c r="I1" s="540"/>
      <c r="J1" s="540"/>
    </row>
    <row r="2" spans="1:10" ht="12.75">
      <c r="A2" s="9"/>
      <c r="B2" s="278"/>
      <c r="C2" s="9"/>
      <c r="D2" s="9"/>
      <c r="E2" s="9"/>
      <c r="F2" s="9"/>
      <c r="G2" s="9"/>
      <c r="H2" s="9"/>
      <c r="I2" s="9"/>
      <c r="J2" s="9"/>
    </row>
    <row r="3" spans="1:10" ht="12.75">
      <c r="A3" s="2" t="s">
        <v>4093</v>
      </c>
      <c r="B3" s="2"/>
      <c r="C3" s="2"/>
      <c r="D3" s="2"/>
      <c r="E3" s="2"/>
    </row>
    <row r="4" spans="1:10" ht="12.75">
      <c r="A4" s="2" t="s">
        <v>3926</v>
      </c>
      <c r="B4" s="2"/>
      <c r="C4" s="2"/>
      <c r="D4" s="2"/>
      <c r="E4" s="2"/>
    </row>
    <row r="5" spans="1:10" ht="12.75">
      <c r="A5" s="2"/>
      <c r="B5" s="2"/>
      <c r="C5" s="2"/>
      <c r="D5" s="2"/>
      <c r="E5" s="2"/>
    </row>
    <row r="6" spans="1:10" ht="12.75">
      <c r="A6" s="541" t="s">
        <v>4400</v>
      </c>
      <c r="B6" s="541"/>
      <c r="C6" s="541"/>
      <c r="D6" s="541"/>
      <c r="E6" s="541"/>
      <c r="F6" s="541"/>
      <c r="G6" s="541"/>
      <c r="H6" s="541"/>
      <c r="I6" s="541"/>
      <c r="J6" s="541"/>
    </row>
    <row r="7" spans="1:10" ht="12.75">
      <c r="A7" s="541" t="s">
        <v>862</v>
      </c>
      <c r="B7" s="541"/>
      <c r="C7" s="541"/>
      <c r="D7" s="541"/>
      <c r="E7" s="541"/>
      <c r="F7" s="541"/>
      <c r="G7" s="541"/>
      <c r="H7" s="541"/>
      <c r="I7" s="541"/>
      <c r="J7" s="541"/>
    </row>
    <row r="8" spans="1:10" ht="12.75">
      <c r="A8" s="271"/>
      <c r="B8" s="4"/>
      <c r="C8" s="271"/>
      <c r="D8" s="271"/>
      <c r="E8" s="271"/>
      <c r="F8" s="271"/>
      <c r="G8" s="271"/>
      <c r="H8" s="271"/>
      <c r="I8" s="271"/>
      <c r="J8" s="271"/>
    </row>
    <row r="9" spans="1:10" ht="12.75">
      <c r="A9" s="2" t="s">
        <v>3927</v>
      </c>
      <c r="B9" s="2"/>
      <c r="C9" s="2"/>
      <c r="D9" s="2"/>
      <c r="E9" s="2"/>
    </row>
    <row r="10" spans="1:10" ht="12.75">
      <c r="A10" s="2" t="s">
        <v>3602</v>
      </c>
      <c r="B10" s="2"/>
      <c r="C10" s="2"/>
      <c r="D10" s="2"/>
      <c r="E10" s="2"/>
    </row>
    <row r="11" spans="1:10" ht="12.75">
      <c r="A11" s="2" t="s">
        <v>863</v>
      </c>
      <c r="B11" s="2"/>
      <c r="C11" s="2"/>
      <c r="D11" s="2"/>
      <c r="E11" s="2"/>
    </row>
    <row r="12" spans="1:10" ht="12.75">
      <c r="A12" s="2"/>
      <c r="B12" s="2"/>
      <c r="C12" s="2"/>
      <c r="D12" s="2"/>
      <c r="E12" s="2"/>
    </row>
    <row r="13" spans="1:10" ht="12.75">
      <c r="A13" s="2" t="s">
        <v>4178</v>
      </c>
      <c r="B13" s="2"/>
      <c r="C13" s="2"/>
      <c r="D13" s="2"/>
      <c r="E13" s="2"/>
    </row>
    <row r="14" spans="1:10" ht="12.75">
      <c r="A14" s="2" t="s">
        <v>864</v>
      </c>
      <c r="B14" s="2"/>
      <c r="C14" s="2"/>
      <c r="D14" s="2"/>
      <c r="E14" s="2"/>
    </row>
    <row r="15" spans="1:10" ht="12.75">
      <c r="A15" s="2"/>
      <c r="B15" s="2"/>
      <c r="C15" s="2"/>
      <c r="D15" s="2"/>
      <c r="E15" s="2"/>
    </row>
    <row r="16" spans="1:10" ht="12.75">
      <c r="A16" s="996" t="s">
        <v>4498</v>
      </c>
      <c r="B16" s="996"/>
      <c r="C16" s="996"/>
      <c r="D16" s="996"/>
      <c r="E16" s="996"/>
      <c r="F16" s="996"/>
      <c r="G16" s="996"/>
      <c r="H16" s="996"/>
      <c r="I16" s="996"/>
      <c r="J16" s="996"/>
    </row>
    <row r="17" spans="1:9" ht="12.75">
      <c r="A17" s="2"/>
      <c r="B17" s="2"/>
      <c r="C17" s="4"/>
      <c r="D17" s="2"/>
      <c r="E17" s="2"/>
    </row>
    <row r="18" spans="1:9" ht="12.75" customHeight="1">
      <c r="A18" s="987" t="s">
        <v>4094</v>
      </c>
      <c r="B18" s="988"/>
      <c r="C18" s="988"/>
      <c r="D18" s="988"/>
      <c r="E18" s="988"/>
      <c r="F18" s="988"/>
      <c r="G18" s="988"/>
      <c r="H18" s="989"/>
      <c r="I18" s="47"/>
    </row>
    <row r="19" spans="1:9" ht="12.75" customHeight="1">
      <c r="A19" s="990"/>
      <c r="B19" s="991"/>
      <c r="C19" s="991"/>
      <c r="D19" s="991"/>
      <c r="E19" s="991"/>
      <c r="F19" s="991"/>
      <c r="G19" s="991"/>
      <c r="H19" s="992"/>
      <c r="I19" s="47"/>
    </row>
    <row r="20" spans="1:9" ht="12.75" customHeight="1">
      <c r="A20" s="990"/>
      <c r="B20" s="991"/>
      <c r="C20" s="991"/>
      <c r="D20" s="991"/>
      <c r="E20" s="991"/>
      <c r="F20" s="991"/>
      <c r="G20" s="991"/>
      <c r="H20" s="992"/>
      <c r="I20" s="47"/>
    </row>
    <row r="21" spans="1:9">
      <c r="A21" s="990"/>
      <c r="B21" s="991"/>
      <c r="C21" s="991"/>
      <c r="D21" s="991"/>
      <c r="E21" s="991"/>
      <c r="F21" s="991"/>
      <c r="G21" s="991"/>
      <c r="H21" s="992"/>
    </row>
    <row r="22" spans="1:9">
      <c r="A22" s="993"/>
      <c r="B22" s="994"/>
      <c r="C22" s="994"/>
      <c r="D22" s="994"/>
      <c r="E22" s="994"/>
      <c r="F22" s="994"/>
      <c r="G22" s="994"/>
      <c r="H22" s="995"/>
    </row>
    <row r="23" spans="1:9" ht="12.75">
      <c r="A23" s="2"/>
      <c r="B23" s="279"/>
      <c r="C23" s="279"/>
      <c r="D23" s="279"/>
      <c r="E23" s="279"/>
      <c r="F23" s="279"/>
      <c r="G23" s="279"/>
      <c r="H23" s="279"/>
      <c r="I23" s="279"/>
    </row>
    <row r="24" spans="1:9" ht="12.75">
      <c r="A24" s="6" t="s">
        <v>691</v>
      </c>
      <c r="B24" s="2"/>
      <c r="C24" s="5"/>
      <c r="D24" s="2"/>
      <c r="E24" s="2"/>
    </row>
    <row r="25" spans="1:9" ht="12.75">
      <c r="A25" s="2"/>
      <c r="B25" s="2"/>
      <c r="C25" s="4"/>
      <c r="D25" s="2"/>
      <c r="E25" s="2"/>
    </row>
    <row r="26" spans="1:9" ht="12.75">
      <c r="A26" s="6" t="s">
        <v>687</v>
      </c>
      <c r="B26" s="2" t="s">
        <v>688</v>
      </c>
    </row>
    <row r="27" spans="1:9" ht="12.75">
      <c r="A27" s="6" t="s">
        <v>327</v>
      </c>
      <c r="B27" s="2" t="s">
        <v>1695</v>
      </c>
    </row>
    <row r="28" spans="1:9" ht="12.75">
      <c r="A28" s="6" t="s">
        <v>685</v>
      </c>
      <c r="B28" s="2" t="s">
        <v>686</v>
      </c>
    </row>
    <row r="29" spans="1:9" ht="12.75">
      <c r="A29" s="6" t="s">
        <v>683</v>
      </c>
      <c r="B29" s="2" t="s">
        <v>684</v>
      </c>
    </row>
    <row r="30" spans="1:9" ht="12.75">
      <c r="A30" s="6" t="s">
        <v>689</v>
      </c>
      <c r="B30" s="2" t="s">
        <v>690</v>
      </c>
    </row>
    <row r="31" spans="1:9" ht="12.75">
      <c r="A31" s="6" t="s">
        <v>681</v>
      </c>
      <c r="B31" s="2" t="s">
        <v>682</v>
      </c>
    </row>
  </sheetData>
  <mergeCells count="3">
    <mergeCell ref="A18:H22"/>
    <mergeCell ref="A16:J16"/>
    <mergeCell ref="A1:F1"/>
  </mergeCells>
  <phoneticPr fontId="1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J1520"/>
  <sheetViews>
    <sheetView workbookViewId="0">
      <pane xSplit="8" ySplit="1" topLeftCell="DZ2" activePane="bottomRight" state="frozen"/>
      <selection pane="topRight" activeCell="I1" sqref="I1"/>
      <selection pane="bottomLeft" activeCell="A2" sqref="A2"/>
      <selection pane="bottomRight"/>
    </sheetView>
  </sheetViews>
  <sheetFormatPr defaultRowHeight="12"/>
  <cols>
    <col min="1" max="2" width="9.140625" style="292"/>
    <col min="3" max="3" width="22.42578125" style="292" bestFit="1" customWidth="1"/>
    <col min="4" max="7" width="9.140625" style="292"/>
    <col min="8" max="8" width="9.7109375" style="291" customWidth="1"/>
    <col min="9" max="14" width="9.140625" style="292"/>
    <col min="15" max="15" width="15.140625" style="292" customWidth="1"/>
    <col min="16" max="16" width="9.140625" style="292"/>
    <col min="17" max="17" width="24.42578125" style="292" bestFit="1" customWidth="1"/>
    <col min="18" max="22" width="9.140625" style="292"/>
    <col min="23" max="23" width="13.42578125" style="292" bestFit="1" customWidth="1"/>
    <col min="24" max="26" width="9.140625" style="292"/>
    <col min="27" max="27" width="19" style="292" bestFit="1" customWidth="1"/>
    <col min="28" max="28" width="14" style="292" bestFit="1" customWidth="1"/>
    <col min="29" max="38" width="9.140625" style="292"/>
    <col min="39" max="39" width="32.7109375" style="292" customWidth="1"/>
    <col min="40" max="40" width="17.5703125" style="292" customWidth="1"/>
    <col min="41" max="41" width="18.7109375" style="292" customWidth="1"/>
    <col min="42" max="51" width="9.140625" style="292"/>
    <col min="52" max="52" width="24" style="292" customWidth="1"/>
    <col min="53" max="53" width="9.140625" style="292"/>
    <col min="54" max="54" width="13.5703125" style="292" customWidth="1"/>
    <col min="55" max="59" width="9.140625" style="292"/>
    <col min="60" max="60" width="21.5703125" style="292" customWidth="1"/>
    <col min="61" max="16384" width="9.140625" style="292"/>
  </cols>
  <sheetData>
    <row r="1" spans="1:140" ht="12.75">
      <c r="A1" s="287"/>
      <c r="B1" s="288"/>
      <c r="C1" s="289"/>
      <c r="D1" s="998" t="s">
        <v>2402</v>
      </c>
      <c r="E1" s="999"/>
      <c r="F1" s="999"/>
      <c r="G1" s="290"/>
      <c r="H1" s="291" t="s">
        <v>693</v>
      </c>
      <c r="I1" s="290"/>
      <c r="J1" s="290" t="s">
        <v>2715</v>
      </c>
      <c r="K1" s="290" t="s">
        <v>2716</v>
      </c>
      <c r="L1" s="292" t="s">
        <v>2717</v>
      </c>
      <c r="M1" s="292" t="s">
        <v>2714</v>
      </c>
      <c r="N1" s="292" t="s">
        <v>2718</v>
      </c>
      <c r="O1" s="292" t="s">
        <v>2720</v>
      </c>
      <c r="P1" s="292" t="s">
        <v>2719</v>
      </c>
      <c r="Q1" s="292" t="s">
        <v>2721</v>
      </c>
      <c r="R1" s="292" t="s">
        <v>2722</v>
      </c>
      <c r="S1" s="292" t="s">
        <v>2723</v>
      </c>
      <c r="T1" s="292" t="s">
        <v>2724</v>
      </c>
      <c r="U1" s="292" t="s">
        <v>3151</v>
      </c>
      <c r="V1" s="292" t="s">
        <v>2726</v>
      </c>
      <c r="W1" s="292" t="s">
        <v>2727</v>
      </c>
      <c r="X1" s="292" t="s">
        <v>2728</v>
      </c>
      <c r="Y1" s="292" t="s">
        <v>2729</v>
      </c>
      <c r="Z1" s="288" t="s">
        <v>2730</v>
      </c>
      <c r="AA1" s="288" t="s">
        <v>2731</v>
      </c>
      <c r="AB1" s="292" t="s">
        <v>2732</v>
      </c>
      <c r="AC1" s="292" t="s">
        <v>1738</v>
      </c>
      <c r="AD1" s="292" t="s">
        <v>2733</v>
      </c>
      <c r="AE1" s="292" t="s">
        <v>2734</v>
      </c>
      <c r="AF1" s="292" t="s">
        <v>2735</v>
      </c>
      <c r="AG1" s="292" t="s">
        <v>2736</v>
      </c>
      <c r="AH1" s="292" t="s">
        <v>2737</v>
      </c>
      <c r="AI1" s="292" t="s">
        <v>2738</v>
      </c>
      <c r="AJ1" s="292" t="s">
        <v>2740</v>
      </c>
      <c r="AK1" s="292" t="s">
        <v>2739</v>
      </c>
      <c r="AL1" s="292" t="s">
        <v>2742</v>
      </c>
      <c r="AM1" s="292" t="s">
        <v>619</v>
      </c>
      <c r="AN1" s="292" t="s">
        <v>2744</v>
      </c>
      <c r="AO1" s="292" t="s">
        <v>2745</v>
      </c>
      <c r="AP1" s="292" t="s">
        <v>2746</v>
      </c>
      <c r="AQ1" s="292" t="s">
        <v>2747</v>
      </c>
      <c r="AR1" s="292" t="s">
        <v>2748</v>
      </c>
      <c r="AS1" s="292" t="s">
        <v>2749</v>
      </c>
      <c r="AT1" s="292" t="s">
        <v>2750</v>
      </c>
      <c r="AU1" s="292" t="s">
        <v>2751</v>
      </c>
      <c r="AV1" s="292" t="s">
        <v>2752</v>
      </c>
      <c r="AW1" s="292" t="s">
        <v>2753</v>
      </c>
      <c r="AX1" s="292" t="s">
        <v>2947</v>
      </c>
      <c r="AY1" s="292" t="s">
        <v>2948</v>
      </c>
      <c r="AZ1" s="292" t="s">
        <v>2949</v>
      </c>
      <c r="BA1" s="292" t="s">
        <v>2950</v>
      </c>
      <c r="BB1" s="292" t="s">
        <v>2951</v>
      </c>
      <c r="BC1" s="292" t="s">
        <v>2952</v>
      </c>
      <c r="BD1" s="292" t="s">
        <v>2953</v>
      </c>
      <c r="BE1" s="292" t="s">
        <v>2954</v>
      </c>
      <c r="BF1" s="292" t="s">
        <v>1642</v>
      </c>
      <c r="BG1" s="292" t="s">
        <v>2957</v>
      </c>
      <c r="BH1" s="292" t="s">
        <v>2958</v>
      </c>
      <c r="BI1" s="292" t="s">
        <v>2959</v>
      </c>
      <c r="BJ1" s="292" t="s">
        <v>1643</v>
      </c>
      <c r="BK1" s="292" t="s">
        <v>2961</v>
      </c>
      <c r="BL1" s="292" t="s">
        <v>3541</v>
      </c>
      <c r="BM1" s="292" t="s">
        <v>3543</v>
      </c>
      <c r="BN1" s="292" t="s">
        <v>3542</v>
      </c>
      <c r="BO1" s="292" t="s">
        <v>3544</v>
      </c>
      <c r="BP1" s="292" t="s">
        <v>3545</v>
      </c>
      <c r="BQ1" s="292" t="s">
        <v>3546</v>
      </c>
      <c r="BR1" s="292" t="s">
        <v>3547</v>
      </c>
      <c r="BS1" s="292" t="s">
        <v>1683</v>
      </c>
      <c r="BT1" s="292" t="s">
        <v>3548</v>
      </c>
      <c r="BU1" s="292" t="s">
        <v>3550</v>
      </c>
      <c r="BV1" s="292" t="s">
        <v>3551</v>
      </c>
      <c r="BW1" s="292" t="s">
        <v>3552</v>
      </c>
      <c r="BX1" s="292" t="s">
        <v>3553</v>
      </c>
      <c r="BY1" s="292" t="s">
        <v>3554</v>
      </c>
      <c r="BZ1" s="292" t="s">
        <v>3555</v>
      </c>
      <c r="CA1" s="292" t="s">
        <v>1690</v>
      </c>
      <c r="CB1" s="292" t="s">
        <v>3556</v>
      </c>
      <c r="CC1" s="292" t="s">
        <v>3952</v>
      </c>
      <c r="CD1" s="292" t="s">
        <v>3953</v>
      </c>
      <c r="CE1" s="292" t="s">
        <v>3955</v>
      </c>
      <c r="CF1" s="292" t="s">
        <v>3956</v>
      </c>
      <c r="CG1" s="292" t="s">
        <v>3957</v>
      </c>
      <c r="CH1" s="292" t="s">
        <v>3958</v>
      </c>
      <c r="CI1" s="292" t="s">
        <v>3959</v>
      </c>
      <c r="CJ1" s="292" t="s">
        <v>3960</v>
      </c>
      <c r="CK1" s="292" t="s">
        <v>3961</v>
      </c>
      <c r="CL1" s="292" t="s">
        <v>3962</v>
      </c>
      <c r="CM1" s="292" t="s">
        <v>3963</v>
      </c>
      <c r="CN1" s="292" t="s">
        <v>3964</v>
      </c>
      <c r="CO1" s="292" t="s">
        <v>3965</v>
      </c>
      <c r="CP1" s="292" t="s">
        <v>3966</v>
      </c>
      <c r="CQ1" s="292" t="s">
        <v>3967</v>
      </c>
      <c r="CR1" s="292" t="s">
        <v>2298</v>
      </c>
      <c r="CS1" s="292" t="s">
        <v>3968</v>
      </c>
      <c r="CT1" s="292" t="s">
        <v>3969</v>
      </c>
      <c r="CU1" s="292" t="s">
        <v>3970</v>
      </c>
      <c r="CV1" s="292" t="s">
        <v>3971</v>
      </c>
      <c r="CW1" s="292" t="s">
        <v>4040</v>
      </c>
      <c r="CX1" s="292" t="s">
        <v>3973</v>
      </c>
      <c r="CY1" s="292" t="s">
        <v>3974</v>
      </c>
      <c r="CZ1" s="292" t="s">
        <v>3975</v>
      </c>
      <c r="DA1" s="292" t="s">
        <v>4041</v>
      </c>
      <c r="DB1" s="292" t="s">
        <v>739</v>
      </c>
      <c r="DC1" s="292" t="s">
        <v>738</v>
      </c>
      <c r="DD1" s="292" t="s">
        <v>740</v>
      </c>
      <c r="DE1" s="292" t="s">
        <v>741</v>
      </c>
      <c r="DF1" s="292" t="s">
        <v>742</v>
      </c>
      <c r="DG1" s="292" t="s">
        <v>743</v>
      </c>
      <c r="DH1" s="292" t="s">
        <v>744</v>
      </c>
      <c r="DI1" s="292" t="s">
        <v>745</v>
      </c>
      <c r="DJ1" s="292" t="s">
        <v>746</v>
      </c>
      <c r="DK1" s="292" t="s">
        <v>747</v>
      </c>
      <c r="DL1" s="292" t="s">
        <v>476</v>
      </c>
      <c r="DM1" s="292" t="s">
        <v>748</v>
      </c>
      <c r="DN1" s="292" t="s">
        <v>749</v>
      </c>
      <c r="DO1" s="292" t="s">
        <v>752</v>
      </c>
      <c r="DP1" s="292" t="s">
        <v>751</v>
      </c>
      <c r="DQ1" s="292" t="s">
        <v>753</v>
      </c>
      <c r="DR1" s="292" t="s">
        <v>754</v>
      </c>
      <c r="DS1" s="292" t="s">
        <v>2962</v>
      </c>
      <c r="DT1" s="292" t="s">
        <v>755</v>
      </c>
      <c r="DU1" s="292" t="s">
        <v>756</v>
      </c>
      <c r="DV1" s="292" t="s">
        <v>1439</v>
      </c>
      <c r="DW1" s="292" t="s">
        <v>758</v>
      </c>
      <c r="DX1" s="292" t="s">
        <v>1440</v>
      </c>
      <c r="DY1" s="292" t="s">
        <v>761</v>
      </c>
      <c r="DZ1" s="292" t="s">
        <v>762</v>
      </c>
      <c r="EA1" s="292" t="s">
        <v>759</v>
      </c>
      <c r="EB1" s="292" t="s">
        <v>763</v>
      </c>
      <c r="EC1" s="292" t="s">
        <v>764</v>
      </c>
      <c r="ED1" s="292" t="s">
        <v>765</v>
      </c>
      <c r="EE1" s="292" t="s">
        <v>766</v>
      </c>
      <c r="EF1" s="292" t="s">
        <v>2741</v>
      </c>
      <c r="EG1" s="292" t="s">
        <v>1463</v>
      </c>
      <c r="EH1" s="292" t="s">
        <v>767</v>
      </c>
      <c r="EI1" s="292" t="s">
        <v>768</v>
      </c>
      <c r="EJ1" s="292" t="s">
        <v>1491</v>
      </c>
    </row>
    <row r="2" spans="1:140">
      <c r="A2" s="287"/>
      <c r="D2" s="999"/>
      <c r="E2" s="999"/>
      <c r="F2" s="999"/>
      <c r="G2" s="290"/>
      <c r="H2" s="291" t="s">
        <v>1492</v>
      </c>
      <c r="I2" s="290"/>
      <c r="J2" s="288" t="s">
        <v>2414</v>
      </c>
      <c r="K2" s="288" t="s">
        <v>770</v>
      </c>
      <c r="L2" s="292" t="s">
        <v>2430</v>
      </c>
      <c r="M2" s="292" t="s">
        <v>2149</v>
      </c>
      <c r="N2" s="292" t="s">
        <v>772</v>
      </c>
      <c r="O2" s="292" t="s">
        <v>775</v>
      </c>
      <c r="P2" s="292" t="s">
        <v>345</v>
      </c>
      <c r="Q2" s="292" t="s">
        <v>362</v>
      </c>
      <c r="R2" s="292" t="s">
        <v>788</v>
      </c>
      <c r="S2" s="292" t="s">
        <v>3624</v>
      </c>
      <c r="T2" s="292" t="s">
        <v>3626</v>
      </c>
      <c r="U2" s="292" t="s">
        <v>3629</v>
      </c>
      <c r="V2" s="292" t="s">
        <v>3640</v>
      </c>
      <c r="W2" s="292" t="s">
        <v>3648</v>
      </c>
      <c r="X2" s="292" t="s">
        <v>3656</v>
      </c>
      <c r="Y2" s="292" t="s">
        <v>3661</v>
      </c>
      <c r="Z2" s="292" t="s">
        <v>3667</v>
      </c>
      <c r="AA2" s="292" t="s">
        <v>3671</v>
      </c>
      <c r="AB2" s="292" t="s">
        <v>790</v>
      </c>
      <c r="AC2" s="397" t="s">
        <v>1739</v>
      </c>
      <c r="AD2" s="292" t="s">
        <v>3680</v>
      </c>
      <c r="AE2" s="292" t="s">
        <v>515</v>
      </c>
      <c r="AF2" s="292" t="s">
        <v>3689</v>
      </c>
      <c r="AG2" s="292" t="s">
        <v>3025</v>
      </c>
      <c r="AH2" s="292" t="s">
        <v>3028</v>
      </c>
      <c r="AI2" s="292" t="s">
        <v>3030</v>
      </c>
      <c r="AJ2" s="292" t="s">
        <v>3038</v>
      </c>
      <c r="AK2" s="292" t="s">
        <v>3040</v>
      </c>
      <c r="AL2" s="292" t="s">
        <v>3052</v>
      </c>
      <c r="AM2" s="292" t="s">
        <v>3054</v>
      </c>
      <c r="AN2" s="292" t="s">
        <v>3079</v>
      </c>
      <c r="AO2" s="292" t="s">
        <v>1144</v>
      </c>
      <c r="AP2" s="292" t="s">
        <v>1163</v>
      </c>
      <c r="AQ2" s="292" t="s">
        <v>1168</v>
      </c>
      <c r="AR2" s="292" t="s">
        <v>1171</v>
      </c>
      <c r="AS2" s="292" t="s">
        <v>1174</v>
      </c>
      <c r="AT2" s="292" t="s">
        <v>1180</v>
      </c>
      <c r="AU2" s="292" t="s">
        <v>1200</v>
      </c>
      <c r="AV2" s="292" t="s">
        <v>1207</v>
      </c>
      <c r="AW2" s="292" t="s">
        <v>798</v>
      </c>
      <c r="AX2" s="292" t="s">
        <v>1210</v>
      </c>
      <c r="AY2" s="292" t="s">
        <v>2963</v>
      </c>
      <c r="AZ2" s="292" t="s">
        <v>4254</v>
      </c>
      <c r="BA2" s="292" t="s">
        <v>4261</v>
      </c>
      <c r="BB2" s="292" t="s">
        <v>4275</v>
      </c>
      <c r="BC2" s="292" t="s">
        <v>1637</v>
      </c>
      <c r="BD2" s="292" t="s">
        <v>4150</v>
      </c>
      <c r="BE2" s="292" t="s">
        <v>4162</v>
      </c>
      <c r="BF2" s="292" t="s">
        <v>4173</v>
      </c>
      <c r="BG2" s="292" t="s">
        <v>4335</v>
      </c>
      <c r="BH2" s="292" t="s">
        <v>1704</v>
      </c>
      <c r="BI2" s="292" t="s">
        <v>4343</v>
      </c>
      <c r="BJ2" s="292" t="s">
        <v>4346</v>
      </c>
      <c r="BK2" s="292" t="s">
        <v>804</v>
      </c>
      <c r="BL2" s="292" t="s">
        <v>3464</v>
      </c>
      <c r="BM2" s="292" t="s">
        <v>3468</v>
      </c>
      <c r="BN2" s="292" t="s">
        <v>3470</v>
      </c>
      <c r="BO2" s="292" t="s">
        <v>3476</v>
      </c>
      <c r="BP2" s="292" t="s">
        <v>806</v>
      </c>
      <c r="BQ2" s="292" t="s">
        <v>1681</v>
      </c>
      <c r="BR2" s="292" t="s">
        <v>3487</v>
      </c>
      <c r="BS2" s="292" t="s">
        <v>3492</v>
      </c>
      <c r="BT2" s="292" t="s">
        <v>3494</v>
      </c>
      <c r="BU2" s="292" t="s">
        <v>2876</v>
      </c>
      <c r="BV2" s="292" t="s">
        <v>2879</v>
      </c>
      <c r="BW2" s="292" t="s">
        <v>2894</v>
      </c>
      <c r="BX2" s="292" t="s">
        <v>2913</v>
      </c>
      <c r="BY2" s="292" t="s">
        <v>2918</v>
      </c>
      <c r="BZ2" s="292" t="s">
        <v>2580</v>
      </c>
      <c r="CA2" s="292" t="s">
        <v>2618</v>
      </c>
      <c r="CB2" s="292" t="s">
        <v>2587</v>
      </c>
      <c r="CC2" s="292" t="s">
        <v>2613</v>
      </c>
      <c r="CD2" s="292" t="s">
        <v>2616</v>
      </c>
      <c r="CE2" s="292" t="s">
        <v>2642</v>
      </c>
      <c r="CF2" s="292" t="s">
        <v>2646</v>
      </c>
      <c r="CG2" s="292" t="s">
        <v>2654</v>
      </c>
      <c r="CH2" s="292" t="s">
        <v>2670</v>
      </c>
      <c r="CI2" s="292" t="s">
        <v>2673</v>
      </c>
      <c r="CJ2" s="292" t="s">
        <v>2677</v>
      </c>
      <c r="CK2" s="292" t="s">
        <v>2680</v>
      </c>
      <c r="CL2" s="292" t="s">
        <v>2685</v>
      </c>
      <c r="CM2" s="292" t="s">
        <v>2688</v>
      </c>
      <c r="CN2" s="292" t="s">
        <v>2691</v>
      </c>
      <c r="CO2" s="292" t="s">
        <v>2694</v>
      </c>
      <c r="CP2" s="292" t="s">
        <v>1838</v>
      </c>
      <c r="CQ2" s="292" t="s">
        <v>1842</v>
      </c>
      <c r="CR2" s="292" t="s">
        <v>1847</v>
      </c>
      <c r="CS2" s="292" t="s">
        <v>1849</v>
      </c>
      <c r="CT2" s="292" t="s">
        <v>1854</v>
      </c>
      <c r="CU2" s="292" t="s">
        <v>1857</v>
      </c>
      <c r="CV2" s="292" t="s">
        <v>1860</v>
      </c>
      <c r="CW2" s="292" t="s">
        <v>1863</v>
      </c>
      <c r="CX2" s="292" t="s">
        <v>1873</v>
      </c>
      <c r="CY2" s="292" t="s">
        <v>4046</v>
      </c>
      <c r="CZ2" s="292" t="s">
        <v>1886</v>
      </c>
      <c r="DA2" s="292" t="s">
        <v>1891</v>
      </c>
      <c r="DB2" s="292" t="s">
        <v>1892</v>
      </c>
      <c r="DC2" s="292" t="s">
        <v>1893</v>
      </c>
      <c r="DD2" s="292" t="s">
        <v>1895</v>
      </c>
      <c r="DE2" s="292" t="s">
        <v>1898</v>
      </c>
      <c r="DF2" s="292" t="s">
        <v>268</v>
      </c>
      <c r="DG2" s="292" t="s">
        <v>270</v>
      </c>
      <c r="DH2" s="292" t="s">
        <v>277</v>
      </c>
      <c r="DI2" s="292" t="s">
        <v>281</v>
      </c>
      <c r="DJ2" s="292" t="s">
        <v>284</v>
      </c>
      <c r="DK2" s="292" t="s">
        <v>286</v>
      </c>
      <c r="DL2" s="292" t="s">
        <v>477</v>
      </c>
      <c r="DM2" s="292" t="s">
        <v>303</v>
      </c>
      <c r="DN2" s="292" t="s">
        <v>312</v>
      </c>
      <c r="DO2" s="292" t="s">
        <v>320</v>
      </c>
      <c r="DP2" s="292" t="s">
        <v>819</v>
      </c>
      <c r="DQ2" s="292" t="s">
        <v>2203</v>
      </c>
      <c r="DR2" s="292" t="s">
        <v>1435</v>
      </c>
      <c r="DS2" s="292" t="s">
        <v>2214</v>
      </c>
      <c r="DT2" s="292" t="s">
        <v>3373</v>
      </c>
      <c r="DU2" s="292" t="s">
        <v>1000</v>
      </c>
      <c r="DV2" s="292" t="s">
        <v>1004</v>
      </c>
      <c r="DW2" s="292" t="s">
        <v>823</v>
      </c>
      <c r="DX2" s="292" t="s">
        <v>1459</v>
      </c>
      <c r="DY2" s="292" t="s">
        <v>1032</v>
      </c>
      <c r="DZ2" s="292" t="s">
        <v>56</v>
      </c>
      <c r="EA2" s="292" t="s">
        <v>1028</v>
      </c>
      <c r="EB2" s="292" t="s">
        <v>75</v>
      </c>
      <c r="EC2" s="292" t="s">
        <v>82</v>
      </c>
      <c r="ED2" s="292" t="s">
        <v>90</v>
      </c>
      <c r="EE2" s="292" t="s">
        <v>88</v>
      </c>
      <c r="EF2" s="292" t="s">
        <v>3048</v>
      </c>
      <c r="EG2" s="292" t="s">
        <v>4169</v>
      </c>
      <c r="EH2" s="292" t="s">
        <v>510</v>
      </c>
      <c r="EI2" s="292" t="s">
        <v>2709</v>
      </c>
      <c r="EJ2" s="292">
        <v>747</v>
      </c>
    </row>
    <row r="3" spans="1:140" s="295" customFormat="1">
      <c r="A3" s="287"/>
      <c r="B3" s="288" t="s">
        <v>2715</v>
      </c>
      <c r="C3" s="292" t="s">
        <v>2414</v>
      </c>
      <c r="D3" s="293">
        <v>7.24</v>
      </c>
      <c r="E3" s="293">
        <v>1.1399999999999999</v>
      </c>
      <c r="F3" s="293" t="s">
        <v>2415</v>
      </c>
      <c r="G3" s="294"/>
      <c r="H3" s="291" t="s">
        <v>1491</v>
      </c>
      <c r="I3" s="294"/>
      <c r="J3" s="288" t="s">
        <v>2416</v>
      </c>
      <c r="K3" s="293" t="s">
        <v>769</v>
      </c>
      <c r="L3" s="292" t="s">
        <v>2432</v>
      </c>
      <c r="M3" s="292" t="s">
        <v>2150</v>
      </c>
      <c r="N3" s="292" t="s">
        <v>771</v>
      </c>
      <c r="O3" s="292" t="s">
        <v>776</v>
      </c>
      <c r="P3" s="292" t="s">
        <v>346</v>
      </c>
      <c r="Q3" s="292" t="s">
        <v>777</v>
      </c>
      <c r="R3" s="292" t="s">
        <v>378</v>
      </c>
      <c r="S3" s="292" t="s">
        <v>3625</v>
      </c>
      <c r="T3" s="292" t="s">
        <v>3627</v>
      </c>
      <c r="U3" s="292" t="s">
        <v>3630</v>
      </c>
      <c r="V3" s="292" t="s">
        <v>3641</v>
      </c>
      <c r="W3" s="292" t="s">
        <v>1732</v>
      </c>
      <c r="X3" s="292" t="s">
        <v>3657</v>
      </c>
      <c r="Y3" s="292" t="s">
        <v>3157</v>
      </c>
      <c r="Z3" s="292" t="s">
        <v>3669</v>
      </c>
      <c r="AA3" s="292" t="s">
        <v>3159</v>
      </c>
      <c r="AB3" s="292" t="s">
        <v>791</v>
      </c>
      <c r="AC3" s="397" t="s">
        <v>1740</v>
      </c>
      <c r="AD3" s="292" t="s">
        <v>3681</v>
      </c>
      <c r="AE3" s="292" t="s">
        <v>3687</v>
      </c>
      <c r="AF3" s="292" t="s">
        <v>3022</v>
      </c>
      <c r="AG3" s="292" t="s">
        <v>3026</v>
      </c>
      <c r="AH3" s="292" t="s">
        <v>3029</v>
      </c>
      <c r="AI3" s="292" t="s">
        <v>3032</v>
      </c>
      <c r="AJ3" s="292" t="s">
        <v>3039</v>
      </c>
      <c r="AK3" s="292" t="s">
        <v>3041</v>
      </c>
      <c r="AL3" s="292" t="s">
        <v>3053</v>
      </c>
      <c r="AM3" s="292" t="s">
        <v>620</v>
      </c>
      <c r="AN3" s="292" t="s">
        <v>3080</v>
      </c>
      <c r="AO3" s="292" t="s">
        <v>1145</v>
      </c>
      <c r="AP3" s="292" t="s">
        <v>1164</v>
      </c>
      <c r="AQ3" s="292" t="s">
        <v>1169</v>
      </c>
      <c r="AR3" s="292" t="s">
        <v>1172</v>
      </c>
      <c r="AS3" s="292" t="s">
        <v>1175</v>
      </c>
      <c r="AT3" s="292" t="s">
        <v>1181</v>
      </c>
      <c r="AU3" s="292" t="s">
        <v>1201</v>
      </c>
      <c r="AV3" s="292" t="s">
        <v>1208</v>
      </c>
      <c r="AW3" s="292" t="s">
        <v>1209</v>
      </c>
      <c r="AX3" s="292" t="s">
        <v>1211</v>
      </c>
      <c r="AY3" s="292" t="s">
        <v>4239</v>
      </c>
      <c r="AZ3" s="292" t="s">
        <v>4255</v>
      </c>
      <c r="BA3" s="292" t="s">
        <v>4262</v>
      </c>
      <c r="BB3" s="292" t="s">
        <v>4276</v>
      </c>
      <c r="BC3" s="292" t="s">
        <v>1638</v>
      </c>
      <c r="BD3" s="292" t="s">
        <v>4151</v>
      </c>
      <c r="BE3" s="292" t="s">
        <v>4163</v>
      </c>
      <c r="BF3" s="292" t="s">
        <v>4174</v>
      </c>
      <c r="BG3" s="292" t="s">
        <v>4336</v>
      </c>
      <c r="BH3" s="292" t="s">
        <v>4337</v>
      </c>
      <c r="BI3" s="292" t="s">
        <v>4344</v>
      </c>
      <c r="BJ3" s="292" t="s">
        <v>4347</v>
      </c>
      <c r="BK3" s="292" t="s">
        <v>3457</v>
      </c>
      <c r="BL3" s="292" t="s">
        <v>3465</v>
      </c>
      <c r="BM3" s="292" t="s">
        <v>3469</v>
      </c>
      <c r="BN3" s="292" t="s">
        <v>3471</v>
      </c>
      <c r="BO3" s="292" t="s">
        <v>3477</v>
      </c>
      <c r="BP3" s="292" t="s">
        <v>1679</v>
      </c>
      <c r="BQ3" s="292" t="s">
        <v>1682</v>
      </c>
      <c r="BR3" s="292" t="s">
        <v>3488</v>
      </c>
      <c r="BS3" s="292" t="s">
        <v>3493</v>
      </c>
      <c r="BT3" s="292" t="s">
        <v>3495</v>
      </c>
      <c r="BU3" s="292" t="s">
        <v>786</v>
      </c>
      <c r="BV3" s="292" t="s">
        <v>2880</v>
      </c>
      <c r="BW3" s="292" t="s">
        <v>2895</v>
      </c>
      <c r="BX3" s="292" t="s">
        <v>2914</v>
      </c>
      <c r="BY3" s="292" t="s">
        <v>1689</v>
      </c>
      <c r="BZ3" s="292" t="s">
        <v>2581</v>
      </c>
      <c r="CA3" s="292" t="s">
        <v>2620</v>
      </c>
      <c r="CB3" s="292" t="s">
        <v>2588</v>
      </c>
      <c r="CC3" s="292" t="s">
        <v>1691</v>
      </c>
      <c r="CD3" s="292" t="s">
        <v>2617</v>
      </c>
      <c r="CE3" s="292" t="s">
        <v>2643</v>
      </c>
      <c r="CF3" s="292" t="s">
        <v>2647</v>
      </c>
      <c r="CG3" s="292" t="s">
        <v>2655</v>
      </c>
      <c r="CH3" s="292" t="s">
        <v>2671</v>
      </c>
      <c r="CI3" s="292" t="s">
        <v>2674</v>
      </c>
      <c r="CJ3" s="292" t="s">
        <v>2678</v>
      </c>
      <c r="CK3" s="292" t="s">
        <v>2681</v>
      </c>
      <c r="CL3" s="292" t="s">
        <v>2686</v>
      </c>
      <c r="CM3" s="292" t="s">
        <v>2689</v>
      </c>
      <c r="CN3" s="292" t="s">
        <v>2692</v>
      </c>
      <c r="CO3" s="292" t="s">
        <v>2695</v>
      </c>
      <c r="CP3" s="292" t="s">
        <v>1839</v>
      </c>
      <c r="CQ3" s="292" t="s">
        <v>1843</v>
      </c>
      <c r="CR3" s="292" t="s">
        <v>4042</v>
      </c>
      <c r="CS3" s="292" t="s">
        <v>4043</v>
      </c>
      <c r="CT3" s="292" t="s">
        <v>1855</v>
      </c>
      <c r="CU3" s="292" t="s">
        <v>1858</v>
      </c>
      <c r="CV3" s="292" t="s">
        <v>1861</v>
      </c>
      <c r="CW3" s="292" t="s">
        <v>1864</v>
      </c>
      <c r="CX3" s="292" t="s">
        <v>1874</v>
      </c>
      <c r="CY3" s="292" t="s">
        <v>4047</v>
      </c>
      <c r="CZ3" s="292" t="s">
        <v>469</v>
      </c>
      <c r="DA3" s="292" t="s">
        <v>1433</v>
      </c>
      <c r="DB3" s="292"/>
      <c r="DC3" s="292" t="s">
        <v>1894</v>
      </c>
      <c r="DD3" s="292" t="s">
        <v>1896</v>
      </c>
      <c r="DE3" s="292" t="s">
        <v>1899</v>
      </c>
      <c r="DF3" s="292" t="s">
        <v>269</v>
      </c>
      <c r="DG3" s="292" t="s">
        <v>271</v>
      </c>
      <c r="DH3" s="292" t="s">
        <v>278</v>
      </c>
      <c r="DI3" s="292" t="s">
        <v>282</v>
      </c>
      <c r="DJ3" s="292" t="s">
        <v>285</v>
      </c>
      <c r="DK3" s="292" t="s">
        <v>817</v>
      </c>
      <c r="DL3" s="292" t="s">
        <v>481</v>
      </c>
      <c r="DM3" s="292" t="s">
        <v>304</v>
      </c>
      <c r="DN3" s="292" t="s">
        <v>313</v>
      </c>
      <c r="DO3" s="292" t="s">
        <v>321</v>
      </c>
      <c r="DP3" s="292" t="s">
        <v>322</v>
      </c>
      <c r="DQ3" s="292" t="s">
        <v>2204</v>
      </c>
      <c r="DR3" s="292" t="s">
        <v>1436</v>
      </c>
      <c r="DS3" s="292" t="s">
        <v>3459</v>
      </c>
      <c r="DT3" s="292" t="s">
        <v>1441</v>
      </c>
      <c r="DU3" s="292" t="s">
        <v>1001</v>
      </c>
      <c r="DV3" s="292" t="s">
        <v>1005</v>
      </c>
      <c r="DW3" s="292" t="s">
        <v>1016</v>
      </c>
      <c r="DX3" s="292" t="s">
        <v>1460</v>
      </c>
      <c r="DY3" s="292" t="s">
        <v>1033</v>
      </c>
      <c r="DZ3" s="292" t="s">
        <v>57</v>
      </c>
      <c r="EA3" s="292" t="s">
        <v>63</v>
      </c>
      <c r="EB3" s="292" t="s">
        <v>76</v>
      </c>
      <c r="EC3" s="292" t="s">
        <v>83</v>
      </c>
      <c r="ED3" s="292" t="s">
        <v>91</v>
      </c>
      <c r="EE3" s="292" t="s">
        <v>89</v>
      </c>
      <c r="EF3" s="292" t="s">
        <v>4236</v>
      </c>
      <c r="EG3" s="292" t="s">
        <v>4170</v>
      </c>
      <c r="EH3" s="292" t="s">
        <v>2702</v>
      </c>
      <c r="EI3" s="292" t="s">
        <v>2710</v>
      </c>
      <c r="EJ3" s="292" t="s">
        <v>807</v>
      </c>
    </row>
    <row r="4" spans="1:140">
      <c r="A4" s="287"/>
      <c r="B4" s="288" t="s">
        <v>2715</v>
      </c>
      <c r="C4" s="292" t="s">
        <v>2416</v>
      </c>
      <c r="D4" s="288" t="s">
        <v>2033</v>
      </c>
      <c r="E4" s="293">
        <v>0.91</v>
      </c>
      <c r="F4" s="293" t="s">
        <v>2415</v>
      </c>
      <c r="G4" s="288"/>
      <c r="H4" s="291" t="s">
        <v>2715</v>
      </c>
      <c r="I4" s="288"/>
      <c r="J4" s="288" t="s">
        <v>2417</v>
      </c>
      <c r="K4" s="293" t="s">
        <v>2423</v>
      </c>
      <c r="L4" s="292" t="s">
        <v>2433</v>
      </c>
      <c r="M4" s="292" t="s">
        <v>2151</v>
      </c>
      <c r="N4" s="292" t="s">
        <v>329</v>
      </c>
      <c r="O4" s="292" t="s">
        <v>338</v>
      </c>
      <c r="P4" s="292" t="s">
        <v>348</v>
      </c>
      <c r="Q4" s="292" t="s">
        <v>778</v>
      </c>
      <c r="R4" s="292" t="s">
        <v>1418</v>
      </c>
      <c r="T4" s="292" t="s">
        <v>3628</v>
      </c>
      <c r="U4" s="292" t="s">
        <v>3140</v>
      </c>
      <c r="V4" s="292" t="s">
        <v>3152</v>
      </c>
      <c r="W4" s="292" t="s">
        <v>3649</v>
      </c>
      <c r="X4" s="292" t="s">
        <v>3658</v>
      </c>
      <c r="Y4" s="292" t="s">
        <v>3158</v>
      </c>
      <c r="AA4" s="292" t="s">
        <v>3672</v>
      </c>
      <c r="AC4" s="397" t="s">
        <v>1741</v>
      </c>
      <c r="AD4" s="292" t="s">
        <v>3682</v>
      </c>
      <c r="AE4" s="292" t="s">
        <v>3685</v>
      </c>
      <c r="AF4" s="292" t="s">
        <v>3023</v>
      </c>
      <c r="AG4" s="292" t="s">
        <v>3027</v>
      </c>
      <c r="AI4" s="292" t="s">
        <v>792</v>
      </c>
      <c r="AK4" s="292" t="s">
        <v>3042</v>
      </c>
      <c r="AM4" s="292" t="s">
        <v>621</v>
      </c>
      <c r="AN4" s="292" t="s">
        <v>3081</v>
      </c>
      <c r="AO4" s="292" t="s">
        <v>1146</v>
      </c>
      <c r="AP4" s="292" t="s">
        <v>1165</v>
      </c>
      <c r="AQ4" s="292" t="s">
        <v>1170</v>
      </c>
      <c r="AS4" s="292" t="s">
        <v>4024</v>
      </c>
      <c r="AT4" s="292" t="s">
        <v>1182</v>
      </c>
      <c r="AU4" s="292" t="s">
        <v>1202</v>
      </c>
      <c r="AX4" s="292" t="s">
        <v>1212</v>
      </c>
      <c r="AY4" s="292" t="s">
        <v>4240</v>
      </c>
      <c r="AZ4" s="292" t="s">
        <v>4256</v>
      </c>
      <c r="BA4" s="292" t="s">
        <v>4263</v>
      </c>
      <c r="BB4" s="292" t="s">
        <v>2985</v>
      </c>
      <c r="BC4" s="292" t="s">
        <v>4290</v>
      </c>
      <c r="BD4" s="292" t="s">
        <v>4152</v>
      </c>
      <c r="BE4" s="292" t="s">
        <v>4164</v>
      </c>
      <c r="BF4" s="292" t="s">
        <v>4175</v>
      </c>
      <c r="BH4" s="292" t="s">
        <v>2878</v>
      </c>
      <c r="BI4" s="292" t="s">
        <v>595</v>
      </c>
      <c r="BJ4" s="292" t="s">
        <v>4348</v>
      </c>
      <c r="BK4" s="292" t="s">
        <v>3458</v>
      </c>
      <c r="BL4" s="292" t="s">
        <v>805</v>
      </c>
      <c r="BN4" s="292" t="s">
        <v>3472</v>
      </c>
      <c r="BP4" s="292" t="s">
        <v>1680</v>
      </c>
      <c r="BQ4" s="292" t="s">
        <v>449</v>
      </c>
      <c r="BR4" s="292" t="s">
        <v>3489</v>
      </c>
      <c r="BT4" s="292" t="s">
        <v>1684</v>
      </c>
      <c r="BU4" s="292" t="s">
        <v>2877</v>
      </c>
      <c r="BV4" s="292" t="s">
        <v>2881</v>
      </c>
      <c r="BW4" s="292" t="s">
        <v>2896</v>
      </c>
      <c r="BX4" s="292" t="s">
        <v>2915</v>
      </c>
      <c r="BY4" s="292" t="s">
        <v>1688</v>
      </c>
      <c r="BZ4" s="292" t="s">
        <v>2582</v>
      </c>
      <c r="CB4" s="292" t="s">
        <v>2589</v>
      </c>
      <c r="CC4" s="292" t="s">
        <v>4034</v>
      </c>
      <c r="CE4" s="292" t="s">
        <v>2644</v>
      </c>
      <c r="CF4" s="292" t="s">
        <v>2648</v>
      </c>
      <c r="CG4" s="292" t="s">
        <v>2656</v>
      </c>
      <c r="CH4" s="292" t="s">
        <v>2672</v>
      </c>
      <c r="CI4" s="292" t="s">
        <v>2675</v>
      </c>
      <c r="CJ4" s="292" t="s">
        <v>2679</v>
      </c>
      <c r="CK4" s="292" t="s">
        <v>2682</v>
      </c>
      <c r="CL4" s="292" t="s">
        <v>468</v>
      </c>
      <c r="CQ4" s="292" t="s">
        <v>1844</v>
      </c>
      <c r="CR4" s="292" t="s">
        <v>1848</v>
      </c>
      <c r="CS4" s="292" t="s">
        <v>4044</v>
      </c>
      <c r="CT4" s="292" t="s">
        <v>4045</v>
      </c>
      <c r="CV4" s="292" t="s">
        <v>1862</v>
      </c>
      <c r="CW4" s="292" t="s">
        <v>1865</v>
      </c>
      <c r="CX4" s="292" t="s">
        <v>1875</v>
      </c>
      <c r="CY4" s="292" t="s">
        <v>4048</v>
      </c>
      <c r="CZ4" s="292" t="s">
        <v>1887</v>
      </c>
      <c r="DA4" s="292" t="s">
        <v>1434</v>
      </c>
      <c r="DG4" s="292" t="s">
        <v>272</v>
      </c>
      <c r="DH4" s="292" t="s">
        <v>279</v>
      </c>
      <c r="DI4" s="292" t="s">
        <v>283</v>
      </c>
      <c r="DK4" s="292" t="s">
        <v>287</v>
      </c>
      <c r="DM4" s="292" t="s">
        <v>305</v>
      </c>
      <c r="DN4" s="292" t="s">
        <v>314</v>
      </c>
      <c r="DQ4" s="292" t="s">
        <v>2205</v>
      </c>
      <c r="DR4" s="292" t="s">
        <v>1437</v>
      </c>
      <c r="DS4" s="292" t="s">
        <v>2215</v>
      </c>
      <c r="DT4" s="292" t="s">
        <v>1442</v>
      </c>
      <c r="DU4" s="292" t="s">
        <v>1002</v>
      </c>
      <c r="DV4" s="292" t="s">
        <v>1006</v>
      </c>
      <c r="DW4" s="292" t="s">
        <v>1017</v>
      </c>
      <c r="DY4" s="292" t="s">
        <v>1034</v>
      </c>
      <c r="DZ4" s="292" t="s">
        <v>58</v>
      </c>
      <c r="EA4" s="292" t="s">
        <v>64</v>
      </c>
      <c r="EB4" s="292" t="s">
        <v>77</v>
      </c>
      <c r="EC4" s="292" t="s">
        <v>84</v>
      </c>
      <c r="ED4" s="292" t="s">
        <v>92</v>
      </c>
      <c r="EF4" s="292" t="s">
        <v>4237</v>
      </c>
      <c r="EG4" s="292" t="s">
        <v>106</v>
      </c>
      <c r="EH4" s="292" t="s">
        <v>2703</v>
      </c>
      <c r="EI4" s="292" t="s">
        <v>2711</v>
      </c>
      <c r="EJ4" s="292" t="s">
        <v>2155</v>
      </c>
    </row>
    <row r="5" spans="1:140">
      <c r="A5" s="287"/>
      <c r="B5" s="288" t="s">
        <v>2715</v>
      </c>
      <c r="C5" s="292" t="s">
        <v>2417</v>
      </c>
      <c r="D5" s="293">
        <v>7.08</v>
      </c>
      <c r="E5" s="293">
        <v>1.43</v>
      </c>
      <c r="F5" s="293" t="s">
        <v>2418</v>
      </c>
      <c r="G5" s="293"/>
      <c r="H5" s="291" t="s">
        <v>2716</v>
      </c>
      <c r="I5" s="293"/>
      <c r="J5" s="288" t="s">
        <v>2419</v>
      </c>
      <c r="K5" s="293"/>
      <c r="L5" s="292" t="s">
        <v>2434</v>
      </c>
      <c r="M5" s="292" t="s">
        <v>2152</v>
      </c>
      <c r="N5" s="292" t="s">
        <v>331</v>
      </c>
      <c r="O5" s="292" t="s">
        <v>583</v>
      </c>
      <c r="P5" s="292" t="s">
        <v>351</v>
      </c>
      <c r="Q5" s="292" t="s">
        <v>780</v>
      </c>
      <c r="R5" s="292" t="s">
        <v>1419</v>
      </c>
      <c r="U5" s="292" t="s">
        <v>3141</v>
      </c>
      <c r="V5" s="292" t="s">
        <v>3643</v>
      </c>
      <c r="W5" s="292" t="s">
        <v>3650</v>
      </c>
      <c r="X5" s="292" t="s">
        <v>3659</v>
      </c>
      <c r="Y5" s="292" t="s">
        <v>3662</v>
      </c>
      <c r="AA5" s="292" t="s">
        <v>3160</v>
      </c>
      <c r="AC5" s="397" t="s">
        <v>1742</v>
      </c>
      <c r="AE5" s="292" t="s">
        <v>3686</v>
      </c>
      <c r="AF5" s="292" t="s">
        <v>3024</v>
      </c>
      <c r="AI5" s="292" t="s">
        <v>3033</v>
      </c>
      <c r="AK5" s="292" t="s">
        <v>3043</v>
      </c>
      <c r="AM5" s="292" t="s">
        <v>3055</v>
      </c>
      <c r="AN5" s="292" t="s">
        <v>3082</v>
      </c>
      <c r="AO5" s="292" t="s">
        <v>1147</v>
      </c>
      <c r="AS5" s="292" t="s">
        <v>4025</v>
      </c>
      <c r="AT5" s="292" t="s">
        <v>1183</v>
      </c>
      <c r="AU5" s="292" t="s">
        <v>1203</v>
      </c>
      <c r="AX5" s="292" t="s">
        <v>1213</v>
      </c>
      <c r="AY5" s="292" t="s">
        <v>4241</v>
      </c>
      <c r="AZ5" s="292" t="s">
        <v>4257</v>
      </c>
      <c r="BA5" s="292" t="s">
        <v>4264</v>
      </c>
      <c r="BB5" s="292" t="s">
        <v>2986</v>
      </c>
      <c r="BC5" s="292" t="s">
        <v>4291</v>
      </c>
      <c r="BD5" s="292" t="s">
        <v>799</v>
      </c>
      <c r="BE5" s="292" t="s">
        <v>4165</v>
      </c>
      <c r="BF5" s="292" t="s">
        <v>1644</v>
      </c>
      <c r="BH5" s="292" t="s">
        <v>276</v>
      </c>
      <c r="BI5" s="292" t="s">
        <v>4341</v>
      </c>
      <c r="BK5" s="292" t="s">
        <v>692</v>
      </c>
      <c r="BL5" s="292" t="s">
        <v>3466</v>
      </c>
      <c r="BN5" s="292" t="s">
        <v>3473</v>
      </c>
      <c r="BT5" s="292" t="s">
        <v>1685</v>
      </c>
      <c r="BV5" s="292" t="s">
        <v>2882</v>
      </c>
      <c r="BW5" s="292" t="s">
        <v>2897</v>
      </c>
      <c r="BX5" s="292" t="s">
        <v>2916</v>
      </c>
      <c r="BZ5" s="292" t="s">
        <v>2583</v>
      </c>
      <c r="CB5" s="292" t="s">
        <v>2591</v>
      </c>
      <c r="CC5" s="292" t="s">
        <v>4035</v>
      </c>
      <c r="CF5" s="292" t="s">
        <v>2649</v>
      </c>
      <c r="CG5" s="292" t="s">
        <v>2657</v>
      </c>
      <c r="CI5" s="292" t="s">
        <v>2676</v>
      </c>
      <c r="CL5" s="292" t="s">
        <v>611</v>
      </c>
      <c r="CQ5" s="292" t="s">
        <v>1845</v>
      </c>
      <c r="CW5" s="292" t="s">
        <v>1866</v>
      </c>
      <c r="CX5" s="292" t="s">
        <v>1876</v>
      </c>
      <c r="CY5" s="292" t="s">
        <v>4049</v>
      </c>
      <c r="CZ5" s="292" t="s">
        <v>1888</v>
      </c>
      <c r="DG5" s="292" t="s">
        <v>273</v>
      </c>
      <c r="DH5" s="292" t="s">
        <v>280</v>
      </c>
      <c r="DK5" s="292" t="s">
        <v>288</v>
      </c>
      <c r="DM5" s="292" t="s">
        <v>306</v>
      </c>
      <c r="DN5" s="292" t="s">
        <v>315</v>
      </c>
      <c r="DR5" s="292" t="s">
        <v>1438</v>
      </c>
      <c r="DT5" s="292" t="s">
        <v>3374</v>
      </c>
      <c r="DU5" s="292" t="s">
        <v>1003</v>
      </c>
      <c r="DV5" s="292" t="s">
        <v>1007</v>
      </c>
      <c r="DW5" s="292" t="s">
        <v>1018</v>
      </c>
      <c r="DY5" s="292" t="s">
        <v>1035</v>
      </c>
      <c r="DZ5" s="292" t="s">
        <v>59</v>
      </c>
      <c r="EA5" s="292" t="s">
        <v>65</v>
      </c>
      <c r="EB5" s="292" t="s">
        <v>78</v>
      </c>
      <c r="ED5" s="292" t="s">
        <v>93</v>
      </c>
      <c r="EF5" s="292" t="s">
        <v>4249</v>
      </c>
      <c r="EG5" s="292" t="s">
        <v>107</v>
      </c>
      <c r="EH5" s="292" t="s">
        <v>2704</v>
      </c>
      <c r="EI5" s="292" t="s">
        <v>2712</v>
      </c>
      <c r="EJ5" s="292" t="s">
        <v>808</v>
      </c>
    </row>
    <row r="6" spans="1:140">
      <c r="A6" s="287"/>
      <c r="B6" s="288" t="s">
        <v>2715</v>
      </c>
      <c r="C6" s="292" t="s">
        <v>2419</v>
      </c>
      <c r="D6" s="293">
        <v>9.1</v>
      </c>
      <c r="E6" s="293">
        <v>1.67</v>
      </c>
      <c r="F6" s="293" t="s">
        <v>2420</v>
      </c>
      <c r="G6" s="288"/>
      <c r="H6" s="291" t="s">
        <v>2717</v>
      </c>
      <c r="I6" s="288"/>
      <c r="J6" s="288"/>
      <c r="K6" s="288"/>
      <c r="L6" s="292" t="s">
        <v>2436</v>
      </c>
      <c r="M6" s="292" t="s">
        <v>2153</v>
      </c>
      <c r="N6" s="292" t="s">
        <v>773</v>
      </c>
      <c r="O6" s="292" t="s">
        <v>587</v>
      </c>
      <c r="P6" s="292" t="s">
        <v>353</v>
      </c>
      <c r="Q6" s="292" t="s">
        <v>779</v>
      </c>
      <c r="R6" s="292" t="s">
        <v>379</v>
      </c>
      <c r="U6" s="292" t="s">
        <v>3631</v>
      </c>
      <c r="W6" s="292" t="s">
        <v>3651</v>
      </c>
      <c r="X6" s="292" t="s">
        <v>3153</v>
      </c>
      <c r="Y6" s="292" t="s">
        <v>3663</v>
      </c>
      <c r="AA6" s="292" t="s">
        <v>3161</v>
      </c>
      <c r="AC6" s="397" t="s">
        <v>1743</v>
      </c>
      <c r="AE6" s="292" t="s">
        <v>3688</v>
      </c>
      <c r="AI6" s="292" t="s">
        <v>3163</v>
      </c>
      <c r="AK6" s="292" t="s">
        <v>3044</v>
      </c>
      <c r="AM6" s="292" t="s">
        <v>3056</v>
      </c>
      <c r="AN6" s="292" t="s">
        <v>3083</v>
      </c>
      <c r="AO6" s="292" t="s">
        <v>1148</v>
      </c>
      <c r="AT6" s="292" t="s">
        <v>593</v>
      </c>
      <c r="AU6" s="292" t="s">
        <v>1204</v>
      </c>
      <c r="AX6" s="292" t="s">
        <v>1214</v>
      </c>
      <c r="AY6" s="292" t="s">
        <v>2964</v>
      </c>
      <c r="AZ6" s="292" t="s">
        <v>2965</v>
      </c>
      <c r="BA6" s="292" t="s">
        <v>4265</v>
      </c>
      <c r="BB6" s="292" t="s">
        <v>446</v>
      </c>
      <c r="BC6" s="292" t="s">
        <v>4142</v>
      </c>
      <c r="BD6" s="292" t="s">
        <v>4153</v>
      </c>
      <c r="BE6" s="292" t="s">
        <v>4166</v>
      </c>
      <c r="BF6" s="292" t="s">
        <v>1645</v>
      </c>
      <c r="BH6" s="292" t="s">
        <v>2217</v>
      </c>
      <c r="BI6" s="292" t="s">
        <v>4342</v>
      </c>
      <c r="BN6" s="292" t="s">
        <v>3474</v>
      </c>
      <c r="BT6" s="292" t="s">
        <v>3496</v>
      </c>
      <c r="BV6" s="292" t="s">
        <v>2883</v>
      </c>
      <c r="BW6" s="292" t="s">
        <v>2898</v>
      </c>
      <c r="BX6" s="292" t="s">
        <v>2917</v>
      </c>
      <c r="BZ6" s="292" t="s">
        <v>2584</v>
      </c>
      <c r="CB6" s="292" t="s">
        <v>2592</v>
      </c>
      <c r="CC6" s="292" t="s">
        <v>4036</v>
      </c>
      <c r="CF6" s="292" t="s">
        <v>2650</v>
      </c>
      <c r="CG6" s="292" t="s">
        <v>2658</v>
      </c>
      <c r="CL6" s="292" t="s">
        <v>4806</v>
      </c>
      <c r="CQ6" s="292" t="s">
        <v>1846</v>
      </c>
      <c r="CW6" s="292" t="s">
        <v>1867</v>
      </c>
      <c r="CX6" s="292" t="s">
        <v>1877</v>
      </c>
      <c r="CY6" s="292" t="s">
        <v>1881</v>
      </c>
      <c r="CZ6" s="292" t="s">
        <v>473</v>
      </c>
      <c r="DK6" s="292" t="s">
        <v>289</v>
      </c>
      <c r="DM6" s="292" t="s">
        <v>307</v>
      </c>
      <c r="DN6" s="292" t="s">
        <v>316</v>
      </c>
      <c r="DR6" s="292" t="s">
        <v>2208</v>
      </c>
      <c r="DT6" s="292" t="s">
        <v>3375</v>
      </c>
      <c r="DV6" s="292" t="s">
        <v>1008</v>
      </c>
      <c r="DW6" s="292" t="s">
        <v>1019</v>
      </c>
      <c r="DY6" s="292" t="s">
        <v>1036</v>
      </c>
      <c r="EA6" s="292" t="s">
        <v>66</v>
      </c>
      <c r="EB6" s="292" t="s">
        <v>79</v>
      </c>
      <c r="EF6" s="292" t="s">
        <v>1461</v>
      </c>
      <c r="EG6" s="292" t="s">
        <v>1381</v>
      </c>
      <c r="EH6" s="292" t="s">
        <v>2705</v>
      </c>
      <c r="EJ6" s="292" t="s">
        <v>809</v>
      </c>
    </row>
    <row r="7" spans="1:140">
      <c r="A7" s="287"/>
      <c r="B7" s="288" t="s">
        <v>2716</v>
      </c>
      <c r="C7" s="292" t="s">
        <v>769</v>
      </c>
      <c r="D7" s="293">
        <v>11.55</v>
      </c>
      <c r="E7" s="293">
        <v>1.79</v>
      </c>
      <c r="F7" s="293" t="s">
        <v>2409</v>
      </c>
      <c r="G7" s="288"/>
      <c r="H7" s="291" t="s">
        <v>2714</v>
      </c>
      <c r="I7" s="288"/>
      <c r="J7" s="288"/>
      <c r="K7" s="288"/>
      <c r="L7" s="292" t="s">
        <v>2438</v>
      </c>
      <c r="M7" s="292" t="s">
        <v>2154</v>
      </c>
      <c r="N7" s="292" t="s">
        <v>774</v>
      </c>
      <c r="P7" s="292" t="s">
        <v>354</v>
      </c>
      <c r="Q7" s="292" t="s">
        <v>1707</v>
      </c>
      <c r="R7" s="292" t="s">
        <v>1420</v>
      </c>
      <c r="U7" s="292" t="s">
        <v>589</v>
      </c>
      <c r="W7" s="292" t="s">
        <v>3652</v>
      </c>
      <c r="X7" s="292" t="s">
        <v>3154</v>
      </c>
      <c r="Y7" s="292" t="s">
        <v>3664</v>
      </c>
      <c r="AA7" s="292" t="s">
        <v>3673</v>
      </c>
      <c r="AC7" s="397" t="s">
        <v>1744</v>
      </c>
      <c r="AE7" s="292" t="s">
        <v>511</v>
      </c>
      <c r="AI7" s="292" t="s">
        <v>3162</v>
      </c>
      <c r="AK7" s="292" t="s">
        <v>3045</v>
      </c>
      <c r="AM7" s="292" t="s">
        <v>3057</v>
      </c>
      <c r="AN7" s="292" t="s">
        <v>3084</v>
      </c>
      <c r="AO7" s="292" t="s">
        <v>1149</v>
      </c>
      <c r="AT7" s="292" t="s">
        <v>794</v>
      </c>
      <c r="AU7" s="292" t="s">
        <v>1205</v>
      </c>
      <c r="AX7" s="292" t="s">
        <v>1215</v>
      </c>
      <c r="AY7" s="292" t="s">
        <v>4242</v>
      </c>
      <c r="AZ7" s="292" t="s">
        <v>2966</v>
      </c>
      <c r="BA7" s="292" t="s">
        <v>4266</v>
      </c>
      <c r="BB7" s="292" t="s">
        <v>4277</v>
      </c>
      <c r="BD7" s="292" t="s">
        <v>4154</v>
      </c>
      <c r="BF7" s="292" t="s">
        <v>4176</v>
      </c>
      <c r="BH7" s="292" t="s">
        <v>2218</v>
      </c>
      <c r="BN7" s="292" t="s">
        <v>3475</v>
      </c>
      <c r="BT7" s="292" t="s">
        <v>3497</v>
      </c>
      <c r="BV7" s="292" t="s">
        <v>2884</v>
      </c>
      <c r="BW7" s="292" t="s">
        <v>2899</v>
      </c>
      <c r="BZ7" s="292" t="s">
        <v>2585</v>
      </c>
      <c r="CB7" s="292" t="s">
        <v>2593</v>
      </c>
      <c r="CC7" s="292" t="s">
        <v>2614</v>
      </c>
      <c r="CG7" s="292" t="s">
        <v>2659</v>
      </c>
      <c r="CW7" s="292" t="s">
        <v>1868</v>
      </c>
      <c r="CX7" s="292" t="s">
        <v>1878</v>
      </c>
      <c r="CY7" s="292" t="s">
        <v>1882</v>
      </c>
      <c r="CZ7" s="292" t="s">
        <v>472</v>
      </c>
      <c r="DK7" s="292" t="s">
        <v>818</v>
      </c>
      <c r="DM7" s="292" t="s">
        <v>308</v>
      </c>
      <c r="DN7" s="292" t="s">
        <v>4809</v>
      </c>
      <c r="DT7" s="292" t="s">
        <v>3376</v>
      </c>
      <c r="DV7" s="292" t="s">
        <v>1009</v>
      </c>
      <c r="DW7" s="292" t="s">
        <v>1020</v>
      </c>
      <c r="DY7" s="292" t="s">
        <v>1037</v>
      </c>
      <c r="EB7" s="292" t="s">
        <v>80</v>
      </c>
      <c r="EF7" s="292" t="s">
        <v>1462</v>
      </c>
      <c r="EG7" s="292" t="s">
        <v>1466</v>
      </c>
      <c r="EH7" s="292" t="s">
        <v>2706</v>
      </c>
      <c r="EJ7" s="292" t="s">
        <v>829</v>
      </c>
    </row>
    <row r="8" spans="1:140">
      <c r="A8" s="287"/>
      <c r="B8" s="288" t="s">
        <v>2716</v>
      </c>
      <c r="C8" s="292" t="s">
        <v>770</v>
      </c>
      <c r="D8" s="288" t="s">
        <v>2034</v>
      </c>
      <c r="E8" s="293">
        <v>2.4300000000000002</v>
      </c>
      <c r="F8" s="293" t="s">
        <v>2409</v>
      </c>
      <c r="G8" s="288"/>
      <c r="H8" s="291" t="s">
        <v>2718</v>
      </c>
      <c r="I8" s="288"/>
      <c r="K8" s="288"/>
      <c r="L8" s="292" t="s">
        <v>2440</v>
      </c>
      <c r="N8" s="292" t="s">
        <v>1700</v>
      </c>
      <c r="P8" s="292" t="s">
        <v>356</v>
      </c>
      <c r="Q8" s="292" t="s">
        <v>363</v>
      </c>
      <c r="R8" s="292" t="s">
        <v>3049</v>
      </c>
      <c r="U8" s="292" t="s">
        <v>3632</v>
      </c>
      <c r="W8" s="292" t="s">
        <v>3653</v>
      </c>
      <c r="X8" s="292" t="s">
        <v>3660</v>
      </c>
      <c r="Y8" s="292" t="s">
        <v>3665</v>
      </c>
      <c r="AE8" s="292" t="s">
        <v>514</v>
      </c>
      <c r="AI8" s="292" t="s">
        <v>3034</v>
      </c>
      <c r="AK8" s="292" t="s">
        <v>3046</v>
      </c>
      <c r="AM8" s="292" t="s">
        <v>3058</v>
      </c>
      <c r="AN8" s="292" t="s">
        <v>3085</v>
      </c>
      <c r="AO8" s="292" t="s">
        <v>638</v>
      </c>
      <c r="AT8" s="292" t="s">
        <v>1184</v>
      </c>
      <c r="AU8" s="292" t="s">
        <v>1206</v>
      </c>
      <c r="AY8" s="292" t="s">
        <v>4243</v>
      </c>
      <c r="AZ8" s="292" t="s">
        <v>430</v>
      </c>
      <c r="BA8" s="292" t="s">
        <v>4267</v>
      </c>
      <c r="BB8" s="292" t="s">
        <v>4278</v>
      </c>
      <c r="BD8" s="292" t="s">
        <v>4155</v>
      </c>
      <c r="BF8" s="292" t="s">
        <v>4177</v>
      </c>
      <c r="BH8" s="292" t="s">
        <v>2219</v>
      </c>
      <c r="BN8" s="292" t="s">
        <v>3476</v>
      </c>
      <c r="BT8" s="292" t="s">
        <v>3498</v>
      </c>
      <c r="BV8" s="292" t="s">
        <v>2885</v>
      </c>
      <c r="BW8" s="292" t="s">
        <v>2900</v>
      </c>
      <c r="CB8" s="292" t="s">
        <v>2594</v>
      </c>
      <c r="CC8" s="292" t="s">
        <v>4037</v>
      </c>
      <c r="CG8" s="292" t="s">
        <v>2660</v>
      </c>
      <c r="CX8" s="292" t="s">
        <v>1879</v>
      </c>
      <c r="CY8" s="292" t="s">
        <v>4050</v>
      </c>
      <c r="CZ8" s="292" t="s">
        <v>1431</v>
      </c>
      <c r="DK8" s="292" t="s">
        <v>290</v>
      </c>
      <c r="DT8" s="292" t="s">
        <v>3377</v>
      </c>
      <c r="DV8" s="292" t="s">
        <v>1010</v>
      </c>
      <c r="DW8" s="292" t="s">
        <v>1021</v>
      </c>
      <c r="DY8" s="292" t="s">
        <v>1038</v>
      </c>
      <c r="EB8" s="292" t="s">
        <v>81</v>
      </c>
      <c r="EF8" s="292" t="s">
        <v>4250</v>
      </c>
      <c r="EG8" s="292" t="s">
        <v>1464</v>
      </c>
      <c r="EH8" s="292" t="s">
        <v>2707</v>
      </c>
      <c r="EJ8" s="292" t="s">
        <v>2421</v>
      </c>
    </row>
    <row r="9" spans="1:140">
      <c r="A9" s="287"/>
      <c r="B9" s="288" t="s">
        <v>2716</v>
      </c>
      <c r="C9" s="292" t="s">
        <v>2423</v>
      </c>
      <c r="D9" s="293">
        <v>13.03</v>
      </c>
      <c r="E9" s="293">
        <v>2.4500000000000002</v>
      </c>
      <c r="F9" s="293" t="s">
        <v>2424</v>
      </c>
      <c r="G9" s="288"/>
      <c r="H9" s="291" t="s">
        <v>2720</v>
      </c>
      <c r="I9" s="288"/>
      <c r="K9" s="288"/>
      <c r="N9" s="292" t="s">
        <v>1701</v>
      </c>
      <c r="P9" s="292" t="s">
        <v>357</v>
      </c>
      <c r="Q9" s="292" t="s">
        <v>365</v>
      </c>
      <c r="R9" s="292" t="s">
        <v>3050</v>
      </c>
      <c r="U9" s="292" t="s">
        <v>3142</v>
      </c>
      <c r="X9" s="292" t="s">
        <v>3155</v>
      </c>
      <c r="Y9" s="292" t="s">
        <v>3666</v>
      </c>
      <c r="AI9" s="292" t="s">
        <v>3035</v>
      </c>
      <c r="AM9" s="292" t="s">
        <v>3059</v>
      </c>
      <c r="AN9" s="292" t="s">
        <v>522</v>
      </c>
      <c r="AO9" s="292" t="s">
        <v>639</v>
      </c>
      <c r="AT9" s="292" t="s">
        <v>1185</v>
      </c>
      <c r="AY9" s="292" t="s">
        <v>4244</v>
      </c>
      <c r="AZ9" s="292" t="s">
        <v>434</v>
      </c>
      <c r="BA9" s="292" t="s">
        <v>4268</v>
      </c>
      <c r="BB9" s="292" t="s">
        <v>4279</v>
      </c>
      <c r="BD9" s="292" t="s">
        <v>1639</v>
      </c>
      <c r="BF9" s="292" t="s">
        <v>4479</v>
      </c>
      <c r="BH9" s="292" t="s">
        <v>2220</v>
      </c>
      <c r="BN9" s="292" t="s">
        <v>3477</v>
      </c>
      <c r="BT9" s="292" t="s">
        <v>3499</v>
      </c>
      <c r="BV9" s="292" t="s">
        <v>2886</v>
      </c>
      <c r="BW9" s="292" t="s">
        <v>2901</v>
      </c>
      <c r="CB9" s="292" t="s">
        <v>2595</v>
      </c>
      <c r="CC9" s="292" t="s">
        <v>4038</v>
      </c>
      <c r="CG9" s="292" t="s">
        <v>2661</v>
      </c>
      <c r="CX9" s="292" t="s">
        <v>1880</v>
      </c>
      <c r="CY9" s="292" t="s">
        <v>1883</v>
      </c>
      <c r="CZ9" s="292" t="s">
        <v>1432</v>
      </c>
      <c r="DK9" s="292" t="s">
        <v>291</v>
      </c>
      <c r="DT9" s="292" t="s">
        <v>3378</v>
      </c>
      <c r="DV9" s="292" t="s">
        <v>1011</v>
      </c>
      <c r="DW9" s="292" t="s">
        <v>825</v>
      </c>
      <c r="DY9" s="292" t="s">
        <v>1039</v>
      </c>
      <c r="EF9" s="292" t="s">
        <v>4251</v>
      </c>
      <c r="EG9" s="292" t="s">
        <v>1465</v>
      </c>
      <c r="EH9" s="292" t="s">
        <v>2708</v>
      </c>
      <c r="EJ9" s="292" t="s">
        <v>2425</v>
      </c>
    </row>
    <row r="10" spans="1:140">
      <c r="A10" s="287"/>
      <c r="B10" s="288" t="s">
        <v>2717</v>
      </c>
      <c r="C10" s="292" t="s">
        <v>2430</v>
      </c>
      <c r="D10" s="293">
        <v>9.16</v>
      </c>
      <c r="E10" s="293">
        <v>1.58</v>
      </c>
      <c r="F10" s="293" t="s">
        <v>2431</v>
      </c>
      <c r="G10" s="288"/>
      <c r="H10" s="291" t="s">
        <v>2719</v>
      </c>
      <c r="I10" s="288"/>
      <c r="K10" s="288"/>
      <c r="N10" s="292" t="s">
        <v>333</v>
      </c>
      <c r="P10" s="292" t="s">
        <v>358</v>
      </c>
      <c r="Q10" s="292" t="s">
        <v>781</v>
      </c>
      <c r="R10" s="292" t="s">
        <v>1216</v>
      </c>
      <c r="U10" s="292" t="s">
        <v>1726</v>
      </c>
      <c r="X10" s="292" t="s">
        <v>3156</v>
      </c>
      <c r="AI10" s="292" t="s">
        <v>793</v>
      </c>
      <c r="AM10" s="292" t="s">
        <v>3060</v>
      </c>
      <c r="AN10" s="292" t="s">
        <v>3086</v>
      </c>
      <c r="AO10" s="292" t="s">
        <v>4408</v>
      </c>
      <c r="AT10" s="292" t="s">
        <v>795</v>
      </c>
      <c r="AY10" s="292" t="s">
        <v>4245</v>
      </c>
      <c r="AZ10" s="292" t="s">
        <v>435</v>
      </c>
      <c r="BA10" s="292" t="s">
        <v>4269</v>
      </c>
      <c r="BB10" s="292" t="s">
        <v>4280</v>
      </c>
      <c r="BD10" s="292" t="s">
        <v>4156</v>
      </c>
      <c r="BF10" s="292" t="s">
        <v>4480</v>
      </c>
      <c r="BH10" s="292" t="s">
        <v>2221</v>
      </c>
      <c r="BT10" s="292" t="s">
        <v>3500</v>
      </c>
      <c r="BV10" s="292" t="s">
        <v>2887</v>
      </c>
      <c r="BW10" s="292" t="s">
        <v>2902</v>
      </c>
      <c r="CB10" s="292" t="s">
        <v>2596</v>
      </c>
      <c r="CC10" s="292" t="s">
        <v>4039</v>
      </c>
      <c r="CG10" s="292" t="s">
        <v>2662</v>
      </c>
      <c r="CY10" s="292" t="s">
        <v>1884</v>
      </c>
      <c r="CZ10" s="292" t="s">
        <v>1889</v>
      </c>
      <c r="DT10" s="292" t="s">
        <v>1443</v>
      </c>
      <c r="DV10" s="292" t="s">
        <v>1012</v>
      </c>
      <c r="DW10" s="292" t="s">
        <v>826</v>
      </c>
      <c r="DY10" s="292" t="s">
        <v>1040</v>
      </c>
      <c r="EF10" s="292" t="s">
        <v>4252</v>
      </c>
      <c r="EG10" s="292" t="s">
        <v>1467</v>
      </c>
      <c r="EJ10" s="292" t="s">
        <v>2426</v>
      </c>
    </row>
    <row r="11" spans="1:140">
      <c r="A11" s="287"/>
      <c r="B11" s="288" t="s">
        <v>2717</v>
      </c>
      <c r="C11" s="292" t="s">
        <v>2432</v>
      </c>
      <c r="D11" s="293">
        <v>8.5399999999999991</v>
      </c>
      <c r="E11" s="293">
        <v>1.75</v>
      </c>
      <c r="F11" s="293" t="s">
        <v>2418</v>
      </c>
      <c r="G11" s="288"/>
      <c r="H11" s="291" t="s">
        <v>2721</v>
      </c>
      <c r="I11" s="288"/>
      <c r="K11" s="288"/>
      <c r="P11" s="292" t="s">
        <v>359</v>
      </c>
      <c r="Q11" s="292" t="s">
        <v>782</v>
      </c>
      <c r="R11" s="292" t="s">
        <v>1217</v>
      </c>
      <c r="U11" s="292" t="s">
        <v>3143</v>
      </c>
      <c r="AM11" s="292" t="s">
        <v>3061</v>
      </c>
      <c r="AN11" s="292" t="s">
        <v>3088</v>
      </c>
      <c r="AO11" s="292" t="s">
        <v>4409</v>
      </c>
      <c r="AT11" s="292" t="s">
        <v>1186</v>
      </c>
      <c r="AY11" s="292" t="s">
        <v>552</v>
      </c>
      <c r="AZ11" s="292" t="s">
        <v>4794</v>
      </c>
      <c r="BA11" s="292" t="s">
        <v>4270</v>
      </c>
      <c r="BB11" s="292" t="s">
        <v>4281</v>
      </c>
      <c r="BD11" s="292" t="s">
        <v>4157</v>
      </c>
      <c r="BF11" s="292" t="s">
        <v>1646</v>
      </c>
      <c r="BH11" s="292" t="s">
        <v>2222</v>
      </c>
      <c r="BT11" s="292" t="s">
        <v>3501</v>
      </c>
      <c r="BV11" s="292" t="s">
        <v>2888</v>
      </c>
      <c r="BW11" s="292" t="s">
        <v>1686</v>
      </c>
      <c r="CB11" s="292" t="s">
        <v>2597</v>
      </c>
      <c r="CG11" s="292" t="s">
        <v>2663</v>
      </c>
      <c r="CY11" s="292" t="s">
        <v>4051</v>
      </c>
      <c r="CZ11" s="292" t="s">
        <v>475</v>
      </c>
      <c r="DT11" s="292" t="s">
        <v>1444</v>
      </c>
      <c r="DV11" s="292" t="s">
        <v>1013</v>
      </c>
      <c r="DW11" s="292" t="s">
        <v>1457</v>
      </c>
      <c r="EF11" s="292" t="s">
        <v>3461</v>
      </c>
      <c r="EG11" s="292" t="s">
        <v>1468</v>
      </c>
      <c r="EJ11" s="292" t="s">
        <v>2428</v>
      </c>
    </row>
    <row r="12" spans="1:140">
      <c r="A12" s="287"/>
      <c r="B12" s="288" t="s">
        <v>2717</v>
      </c>
      <c r="C12" s="292" t="s">
        <v>2433</v>
      </c>
      <c r="D12" s="293">
        <v>7.77</v>
      </c>
      <c r="E12" s="293">
        <v>1.45</v>
      </c>
      <c r="F12" s="293" t="s">
        <v>2418</v>
      </c>
      <c r="G12" s="288"/>
      <c r="H12" s="291" t="s">
        <v>2722</v>
      </c>
      <c r="I12" s="288"/>
      <c r="K12" s="288"/>
      <c r="P12" s="292" t="s">
        <v>360</v>
      </c>
      <c r="Q12" s="292" t="s">
        <v>783</v>
      </c>
      <c r="R12" s="292" t="s">
        <v>1218</v>
      </c>
      <c r="U12" s="292" t="s">
        <v>3633</v>
      </c>
      <c r="AM12" s="292" t="s">
        <v>3062</v>
      </c>
      <c r="AN12" s="292" t="s">
        <v>3087</v>
      </c>
      <c r="AO12" s="292" t="s">
        <v>4410</v>
      </c>
      <c r="AT12" s="292" t="s">
        <v>1187</v>
      </c>
      <c r="AY12" s="292" t="s">
        <v>4246</v>
      </c>
      <c r="AZ12" s="292" t="s">
        <v>4795</v>
      </c>
      <c r="BA12" s="292" t="s">
        <v>4271</v>
      </c>
      <c r="BB12" s="292" t="s">
        <v>4282</v>
      </c>
      <c r="BD12" s="292" t="s">
        <v>4158</v>
      </c>
      <c r="BF12" s="292" t="s">
        <v>1647</v>
      </c>
      <c r="BH12" s="292" t="s">
        <v>2223</v>
      </c>
      <c r="BT12" s="292" t="s">
        <v>3502</v>
      </c>
      <c r="BW12" s="292" t="s">
        <v>1687</v>
      </c>
      <c r="CB12" s="292" t="s">
        <v>2598</v>
      </c>
      <c r="CG12" s="292" t="s">
        <v>2664</v>
      </c>
      <c r="CY12" s="292" t="s">
        <v>1885</v>
      </c>
      <c r="CZ12" s="292" t="s">
        <v>1890</v>
      </c>
      <c r="DT12" s="292" t="s">
        <v>3379</v>
      </c>
      <c r="DV12" s="292" t="s">
        <v>1014</v>
      </c>
      <c r="DW12" s="292" t="s">
        <v>1458</v>
      </c>
      <c r="EF12" s="292" t="s">
        <v>3462</v>
      </c>
      <c r="EG12" s="292" t="s">
        <v>1382</v>
      </c>
      <c r="EJ12" s="292" t="s">
        <v>2441</v>
      </c>
    </row>
    <row r="13" spans="1:140">
      <c r="A13" s="287"/>
      <c r="B13" s="288" t="s">
        <v>2717</v>
      </c>
      <c r="C13" s="292" t="s">
        <v>2434</v>
      </c>
      <c r="D13" s="293">
        <v>9.8699999999999992</v>
      </c>
      <c r="E13" s="293">
        <v>1.71</v>
      </c>
      <c r="F13" s="293" t="s">
        <v>2435</v>
      </c>
      <c r="G13" s="288"/>
      <c r="H13" s="291" t="s">
        <v>2723</v>
      </c>
      <c r="I13" s="288"/>
      <c r="J13" s="288"/>
      <c r="K13" s="293"/>
      <c r="P13" s="292" t="s">
        <v>361</v>
      </c>
      <c r="Q13" s="292" t="s">
        <v>784</v>
      </c>
      <c r="R13" s="292" t="s">
        <v>1219</v>
      </c>
      <c r="U13" s="292" t="s">
        <v>3634</v>
      </c>
      <c r="AM13" s="292" t="s">
        <v>3063</v>
      </c>
      <c r="AN13" s="292" t="s">
        <v>3090</v>
      </c>
      <c r="AO13" s="292" t="s">
        <v>4411</v>
      </c>
      <c r="AT13" s="292" t="s">
        <v>1188</v>
      </c>
      <c r="AY13" s="292" t="s">
        <v>4247</v>
      </c>
      <c r="AZ13" s="292" t="s">
        <v>2967</v>
      </c>
      <c r="BA13" s="292" t="s">
        <v>4272</v>
      </c>
      <c r="BB13" s="292" t="s">
        <v>4283</v>
      </c>
      <c r="BD13" s="292" t="s">
        <v>4159</v>
      </c>
      <c r="BF13" s="292" t="s">
        <v>4317</v>
      </c>
      <c r="BH13" s="292" t="s">
        <v>2224</v>
      </c>
      <c r="BT13" s="292" t="s">
        <v>3503</v>
      </c>
      <c r="BW13" s="292" t="s">
        <v>2903</v>
      </c>
      <c r="CB13" s="292" t="s">
        <v>2599</v>
      </c>
      <c r="CG13" s="292" t="s">
        <v>2665</v>
      </c>
      <c r="DT13" s="292" t="s">
        <v>3380</v>
      </c>
      <c r="DW13" s="292" t="s">
        <v>1023</v>
      </c>
      <c r="EF13" s="292" t="s">
        <v>2621</v>
      </c>
      <c r="EG13" s="292" t="s">
        <v>1383</v>
      </c>
      <c r="EJ13" s="292" t="s">
        <v>323</v>
      </c>
    </row>
    <row r="14" spans="1:140">
      <c r="A14" s="287"/>
      <c r="B14" s="288" t="s">
        <v>2717</v>
      </c>
      <c r="C14" s="292" t="s">
        <v>2436</v>
      </c>
      <c r="D14" s="293">
        <v>10.83</v>
      </c>
      <c r="E14" s="293">
        <v>1.8</v>
      </c>
      <c r="F14" s="293" t="s">
        <v>2437</v>
      </c>
      <c r="G14" s="293"/>
      <c r="H14" s="291" t="s">
        <v>2724</v>
      </c>
      <c r="I14" s="293"/>
      <c r="J14" s="293"/>
      <c r="K14" s="293"/>
      <c r="Q14" s="292" t="s">
        <v>1706</v>
      </c>
      <c r="R14" s="292" t="s">
        <v>1220</v>
      </c>
      <c r="U14" s="292" t="s">
        <v>3144</v>
      </c>
      <c r="AM14" s="292" t="s">
        <v>3064</v>
      </c>
      <c r="AN14" s="292" t="s">
        <v>3091</v>
      </c>
      <c r="AO14" s="292" t="s">
        <v>1150</v>
      </c>
      <c r="AT14" s="292" t="s">
        <v>1189</v>
      </c>
      <c r="AZ14" s="292" t="s">
        <v>2968</v>
      </c>
      <c r="BA14" s="292" t="s">
        <v>4273</v>
      </c>
      <c r="BB14" s="292" t="s">
        <v>2987</v>
      </c>
      <c r="BD14" s="292" t="s">
        <v>1640</v>
      </c>
      <c r="BF14" s="292" t="s">
        <v>4318</v>
      </c>
      <c r="BH14" s="292" t="s">
        <v>2226</v>
      </c>
      <c r="BW14" s="292" t="s">
        <v>2904</v>
      </c>
      <c r="CB14" s="292" t="s">
        <v>2600</v>
      </c>
      <c r="CG14" s="292" t="s">
        <v>2666</v>
      </c>
      <c r="DT14" s="292" t="s">
        <v>3381</v>
      </c>
      <c r="DW14" s="292" t="s">
        <v>1024</v>
      </c>
      <c r="EF14" s="292" t="s">
        <v>2622</v>
      </c>
      <c r="EG14" s="292" t="s">
        <v>828</v>
      </c>
      <c r="EJ14" s="292" t="s">
        <v>324</v>
      </c>
    </row>
    <row r="15" spans="1:140">
      <c r="A15" s="287"/>
      <c r="B15" s="288" t="s">
        <v>2717</v>
      </c>
      <c r="C15" s="292" t="s">
        <v>2438</v>
      </c>
      <c r="D15" s="288" t="s">
        <v>2035</v>
      </c>
      <c r="E15" s="293">
        <v>1.1599999999999999</v>
      </c>
      <c r="F15" s="293" t="s">
        <v>2439</v>
      </c>
      <c r="G15" s="288"/>
      <c r="H15" s="291" t="s">
        <v>3151</v>
      </c>
      <c r="I15" s="288"/>
      <c r="J15" s="288"/>
      <c r="K15" s="288"/>
      <c r="Q15" s="292" t="s">
        <v>3262</v>
      </c>
      <c r="R15" s="292" t="s">
        <v>1221</v>
      </c>
      <c r="U15" s="292" t="s">
        <v>3145</v>
      </c>
      <c r="AM15" s="292" t="s">
        <v>3065</v>
      </c>
      <c r="AN15" s="292" t="s">
        <v>3092</v>
      </c>
      <c r="AO15" s="292" t="s">
        <v>640</v>
      </c>
      <c r="AT15" s="292" t="s">
        <v>4026</v>
      </c>
      <c r="AZ15" s="292" t="s">
        <v>2969</v>
      </c>
      <c r="BA15" s="292" t="s">
        <v>4274</v>
      </c>
      <c r="BB15" s="292" t="s">
        <v>4284</v>
      </c>
      <c r="BD15" s="292" t="s">
        <v>1641</v>
      </c>
      <c r="BF15" s="292" t="s">
        <v>4319</v>
      </c>
      <c r="BH15" s="292" t="s">
        <v>2225</v>
      </c>
      <c r="BW15" s="292" t="s">
        <v>2905</v>
      </c>
      <c r="CB15" s="292" t="s">
        <v>2601</v>
      </c>
      <c r="DT15" s="292" t="s">
        <v>3382</v>
      </c>
      <c r="DW15" s="292" t="s">
        <v>1025</v>
      </c>
      <c r="EF15" s="292" t="s">
        <v>1840</v>
      </c>
      <c r="EG15" s="292" t="s">
        <v>1469</v>
      </c>
      <c r="EJ15" s="292" t="s">
        <v>325</v>
      </c>
    </row>
    <row r="16" spans="1:140">
      <c r="A16" s="287"/>
      <c r="B16" s="288" t="s">
        <v>2717</v>
      </c>
      <c r="C16" s="292" t="s">
        <v>2440</v>
      </c>
      <c r="D16" s="293">
        <v>7.1</v>
      </c>
      <c r="E16" s="293">
        <v>1.1100000000000001</v>
      </c>
      <c r="F16" s="293" t="s">
        <v>2415</v>
      </c>
      <c r="G16" s="293"/>
      <c r="H16" s="291" t="s">
        <v>2726</v>
      </c>
      <c r="I16" s="293"/>
      <c r="J16" s="293"/>
      <c r="K16" s="293"/>
      <c r="Q16" s="292" t="s">
        <v>3263</v>
      </c>
      <c r="R16" s="292" t="s">
        <v>1222</v>
      </c>
      <c r="U16" s="292" t="s">
        <v>3146</v>
      </c>
      <c r="AM16" s="292" t="s">
        <v>3066</v>
      </c>
      <c r="AN16" s="292" t="s">
        <v>3093</v>
      </c>
      <c r="AO16" s="292" t="s">
        <v>641</v>
      </c>
      <c r="AT16" s="292" t="s">
        <v>4027</v>
      </c>
      <c r="AZ16" s="292" t="s">
        <v>2970</v>
      </c>
      <c r="BB16" s="292" t="s">
        <v>1625</v>
      </c>
      <c r="BD16" s="292" t="s">
        <v>4160</v>
      </c>
      <c r="BF16" s="292" t="s">
        <v>1648</v>
      </c>
      <c r="BH16" s="292" t="s">
        <v>2227</v>
      </c>
      <c r="BW16" s="292" t="s">
        <v>2906</v>
      </c>
      <c r="CB16" s="292" t="s">
        <v>2602</v>
      </c>
      <c r="DT16" s="292" t="s">
        <v>820</v>
      </c>
      <c r="DW16" s="292" t="s">
        <v>1022</v>
      </c>
      <c r="EF16" s="292" t="s">
        <v>1841</v>
      </c>
      <c r="EG16" s="292" t="s">
        <v>1471</v>
      </c>
      <c r="EJ16" s="292" t="s">
        <v>326</v>
      </c>
    </row>
    <row r="17" spans="1:140">
      <c r="A17" s="287"/>
      <c r="B17" s="288" t="s">
        <v>2714</v>
      </c>
      <c r="C17" s="292" t="s">
        <v>2149</v>
      </c>
      <c r="D17" s="293">
        <v>9.5500000000000007</v>
      </c>
      <c r="E17" s="293">
        <v>1.9</v>
      </c>
      <c r="F17" s="288" t="s">
        <v>2411</v>
      </c>
      <c r="G17" s="288"/>
      <c r="H17" s="291" t="s">
        <v>2727</v>
      </c>
      <c r="I17" s="288"/>
      <c r="J17" s="288"/>
      <c r="Q17" s="292" t="s">
        <v>367</v>
      </c>
      <c r="R17" s="292" t="s">
        <v>1223</v>
      </c>
      <c r="U17" s="292" t="s">
        <v>3636</v>
      </c>
      <c r="AM17" s="292" t="s">
        <v>3067</v>
      </c>
      <c r="AN17" s="292" t="s">
        <v>632</v>
      </c>
      <c r="AO17" s="292" t="s">
        <v>1151</v>
      </c>
      <c r="AT17" s="292" t="s">
        <v>796</v>
      </c>
      <c r="AZ17" s="292" t="s">
        <v>2971</v>
      </c>
      <c r="BB17" s="292" t="s">
        <v>4285</v>
      </c>
      <c r="BD17" s="292" t="s">
        <v>4161</v>
      </c>
      <c r="BF17" s="292" t="s">
        <v>1649</v>
      </c>
      <c r="BH17" s="292" t="s">
        <v>1659</v>
      </c>
      <c r="BW17" s="292" t="s">
        <v>2907</v>
      </c>
      <c r="CB17" s="292" t="s">
        <v>2603</v>
      </c>
      <c r="DT17" s="292" t="s">
        <v>3383</v>
      </c>
      <c r="EF17" s="292" t="s">
        <v>4097</v>
      </c>
      <c r="EG17" s="292" t="s">
        <v>1470</v>
      </c>
      <c r="EJ17" s="292" t="s">
        <v>335</v>
      </c>
    </row>
    <row r="18" spans="1:140">
      <c r="A18" s="287"/>
      <c r="B18" s="288" t="s">
        <v>2714</v>
      </c>
      <c r="C18" s="292" t="s">
        <v>2150</v>
      </c>
      <c r="D18" s="293">
        <v>9.5500000000000007</v>
      </c>
      <c r="E18" s="293">
        <v>1.9</v>
      </c>
      <c r="F18" s="288" t="s">
        <v>2411</v>
      </c>
      <c r="G18" s="293"/>
      <c r="H18" s="291" t="s">
        <v>2728</v>
      </c>
      <c r="I18" s="293"/>
      <c r="J18" s="293"/>
      <c r="Q18" s="292" t="s">
        <v>368</v>
      </c>
      <c r="R18" s="292" t="s">
        <v>1224</v>
      </c>
      <c r="U18" s="292" t="s">
        <v>3147</v>
      </c>
      <c r="AM18" s="292" t="s">
        <v>3068</v>
      </c>
      <c r="AN18" s="292" t="s">
        <v>633</v>
      </c>
      <c r="AO18" s="292" t="s">
        <v>1152</v>
      </c>
      <c r="AT18" s="292" t="s">
        <v>1190</v>
      </c>
      <c r="AZ18" s="292" t="s">
        <v>2972</v>
      </c>
      <c r="BB18" s="292" t="s">
        <v>1626</v>
      </c>
      <c r="BD18" s="292" t="s">
        <v>801</v>
      </c>
      <c r="BF18" s="292" t="s">
        <v>4321</v>
      </c>
      <c r="BH18" s="292" t="s">
        <v>482</v>
      </c>
      <c r="BW18" s="292" t="s">
        <v>2908</v>
      </c>
      <c r="CB18" s="292" t="s">
        <v>2604</v>
      </c>
      <c r="DT18" s="292" t="s">
        <v>3384</v>
      </c>
      <c r="EF18" s="292" t="s">
        <v>2212</v>
      </c>
      <c r="EG18" s="292" t="s">
        <v>1472</v>
      </c>
      <c r="EJ18" s="292" t="s">
        <v>340</v>
      </c>
    </row>
    <row r="19" spans="1:140">
      <c r="A19" s="287"/>
      <c r="B19" s="288" t="s">
        <v>2714</v>
      </c>
      <c r="C19" s="292" t="s">
        <v>2151</v>
      </c>
      <c r="D19" s="288">
        <v>10.59</v>
      </c>
      <c r="E19" s="288">
        <v>2.1</v>
      </c>
      <c r="F19" s="288" t="s">
        <v>2412</v>
      </c>
      <c r="G19" s="293"/>
      <c r="H19" s="291" t="s">
        <v>2729</v>
      </c>
      <c r="I19" s="293"/>
      <c r="J19" s="293"/>
      <c r="Q19" s="292" t="s">
        <v>3264</v>
      </c>
      <c r="R19" s="292" t="s">
        <v>1225</v>
      </c>
      <c r="U19" s="292" t="s">
        <v>3148</v>
      </c>
      <c r="AM19" s="292" t="s">
        <v>622</v>
      </c>
      <c r="AN19" s="292" t="s">
        <v>3094</v>
      </c>
      <c r="AO19" s="292" t="s">
        <v>642</v>
      </c>
      <c r="AT19" s="292" t="s">
        <v>1191</v>
      </c>
      <c r="AZ19" s="292" t="s">
        <v>2973</v>
      </c>
      <c r="BB19" s="292" t="s">
        <v>1627</v>
      </c>
      <c r="BD19" s="292" t="s">
        <v>800</v>
      </c>
      <c r="BF19" s="292" t="s">
        <v>4320</v>
      </c>
      <c r="BH19" s="292" t="s">
        <v>614</v>
      </c>
      <c r="BW19" s="292" t="s">
        <v>2909</v>
      </c>
      <c r="CB19" s="292" t="s">
        <v>2605</v>
      </c>
      <c r="DT19" s="292" t="s">
        <v>1445</v>
      </c>
      <c r="EF19" s="292" t="s">
        <v>827</v>
      </c>
      <c r="EG19" s="292" t="s">
        <v>1473</v>
      </c>
      <c r="EJ19" s="292" t="s">
        <v>341</v>
      </c>
    </row>
    <row r="20" spans="1:140">
      <c r="A20" s="287"/>
      <c r="B20" s="288" t="s">
        <v>2714</v>
      </c>
      <c r="C20" s="292" t="s">
        <v>2152</v>
      </c>
      <c r="D20" s="288" t="s">
        <v>2032</v>
      </c>
      <c r="E20" s="293">
        <v>2.37</v>
      </c>
      <c r="F20" s="293" t="s">
        <v>2410</v>
      </c>
      <c r="G20" s="293"/>
      <c r="H20" s="291" t="s">
        <v>2730</v>
      </c>
      <c r="I20" s="293"/>
      <c r="J20" s="293"/>
      <c r="Q20" s="292" t="s">
        <v>3265</v>
      </c>
      <c r="R20" s="292" t="s">
        <v>1226</v>
      </c>
      <c r="U20" s="292" t="s">
        <v>3639</v>
      </c>
      <c r="AM20" s="292" t="s">
        <v>623</v>
      </c>
      <c r="AN20" s="292" t="s">
        <v>634</v>
      </c>
      <c r="AO20" s="292" t="s">
        <v>4022</v>
      </c>
      <c r="AT20" s="292" t="s">
        <v>1192</v>
      </c>
      <c r="AZ20" s="292" t="s">
        <v>2974</v>
      </c>
      <c r="BB20" s="292" t="s">
        <v>4286</v>
      </c>
      <c r="BD20" s="292" t="s">
        <v>3505</v>
      </c>
      <c r="BF20" s="292" t="s">
        <v>1650</v>
      </c>
      <c r="BH20" s="292" t="s">
        <v>2228</v>
      </c>
      <c r="BW20" s="292" t="s">
        <v>2910</v>
      </c>
      <c r="CB20" s="292" t="s">
        <v>2606</v>
      </c>
      <c r="DT20" s="292" t="s">
        <v>1446</v>
      </c>
      <c r="EF20" s="292" t="s">
        <v>87</v>
      </c>
      <c r="EG20" s="292" t="s">
        <v>1474</v>
      </c>
      <c r="EJ20" s="292" t="s">
        <v>530</v>
      </c>
    </row>
    <row r="21" spans="1:140">
      <c r="A21" s="287"/>
      <c r="B21" s="288" t="s">
        <v>2714</v>
      </c>
      <c r="C21" s="292" t="s">
        <v>2153</v>
      </c>
      <c r="D21" s="288" t="s">
        <v>2032</v>
      </c>
      <c r="E21" s="293">
        <v>2.48</v>
      </c>
      <c r="F21" s="288" t="s">
        <v>2413</v>
      </c>
      <c r="G21" s="288"/>
      <c r="H21" s="291" t="s">
        <v>2731</v>
      </c>
      <c r="I21" s="288"/>
      <c r="J21" s="288"/>
      <c r="Q21" s="292" t="s">
        <v>369</v>
      </c>
      <c r="R21" s="292" t="s">
        <v>1227</v>
      </c>
      <c r="U21" s="292" t="s">
        <v>3149</v>
      </c>
      <c r="AM21" s="292" t="s">
        <v>604</v>
      </c>
      <c r="AN21" s="292" t="s">
        <v>635</v>
      </c>
      <c r="AO21" s="292" t="s">
        <v>1153</v>
      </c>
      <c r="AT21" s="292" t="s">
        <v>797</v>
      </c>
      <c r="AZ21" s="292" t="s">
        <v>2972</v>
      </c>
      <c r="BB21" s="292" t="s">
        <v>1628</v>
      </c>
      <c r="BF21" s="292" t="s">
        <v>1651</v>
      </c>
      <c r="BH21" s="292" t="s">
        <v>486</v>
      </c>
      <c r="DT21" s="292" t="s">
        <v>3385</v>
      </c>
      <c r="EG21" s="292" t="s">
        <v>1475</v>
      </c>
      <c r="EJ21" s="292" t="s">
        <v>343</v>
      </c>
    </row>
    <row r="22" spans="1:140">
      <c r="A22" s="287"/>
      <c r="B22" s="288" t="s">
        <v>2714</v>
      </c>
      <c r="C22" s="292" t="s">
        <v>2154</v>
      </c>
      <c r="D22" s="293">
        <v>10.34</v>
      </c>
      <c r="E22" s="293">
        <v>2.5</v>
      </c>
      <c r="F22" s="288" t="s">
        <v>337</v>
      </c>
      <c r="G22" s="288"/>
      <c r="H22" s="291" t="s">
        <v>2732</v>
      </c>
      <c r="I22" s="288"/>
      <c r="J22" s="288"/>
      <c r="Q22" s="292" t="s">
        <v>3266</v>
      </c>
      <c r="R22" s="292" t="s">
        <v>1228</v>
      </c>
      <c r="U22" s="292" t="s">
        <v>3150</v>
      </c>
      <c r="AM22" s="292" t="s">
        <v>624</v>
      </c>
      <c r="AN22" s="292" t="s">
        <v>3095</v>
      </c>
      <c r="AO22" s="292" t="s">
        <v>1155</v>
      </c>
      <c r="AT22" s="292" t="s">
        <v>1193</v>
      </c>
      <c r="AZ22" s="292" t="s">
        <v>2975</v>
      </c>
      <c r="BB22" s="292" t="s">
        <v>1629</v>
      </c>
      <c r="BF22" s="292" t="s">
        <v>1652</v>
      </c>
      <c r="BH22" s="292" t="s">
        <v>2229</v>
      </c>
      <c r="DT22" s="292" t="s">
        <v>3386</v>
      </c>
      <c r="EG22" s="292" t="s">
        <v>1384</v>
      </c>
      <c r="EJ22" s="292" t="s">
        <v>1719</v>
      </c>
    </row>
    <row r="23" spans="1:140">
      <c r="A23" s="287"/>
      <c r="B23" s="288" t="s">
        <v>2718</v>
      </c>
      <c r="C23" s="292" t="s">
        <v>771</v>
      </c>
      <c r="D23" s="293">
        <v>10.4</v>
      </c>
      <c r="E23" s="288">
        <v>1.95</v>
      </c>
      <c r="F23" s="288" t="s">
        <v>2411</v>
      </c>
      <c r="G23" s="288"/>
      <c r="H23" s="291" t="s">
        <v>1745</v>
      </c>
      <c r="I23" s="288"/>
      <c r="J23" s="288"/>
      <c r="Q23" s="292" t="s">
        <v>3267</v>
      </c>
      <c r="R23" s="292" t="s">
        <v>1229</v>
      </c>
      <c r="AM23" s="292" t="s">
        <v>625</v>
      </c>
      <c r="AN23" s="292" t="s">
        <v>3096</v>
      </c>
      <c r="AO23" s="292" t="s">
        <v>1156</v>
      </c>
      <c r="AT23" s="292" t="s">
        <v>1194</v>
      </c>
      <c r="AZ23" s="292" t="s">
        <v>2976</v>
      </c>
      <c r="BB23" s="292" t="s">
        <v>4287</v>
      </c>
      <c r="BF23" s="292" t="s">
        <v>1653</v>
      </c>
      <c r="BH23" s="292" t="s">
        <v>2230</v>
      </c>
      <c r="DT23" s="292" t="s">
        <v>3387</v>
      </c>
      <c r="EG23" s="292" t="s">
        <v>4818</v>
      </c>
      <c r="EJ23" s="292" t="s">
        <v>380</v>
      </c>
    </row>
    <row r="24" spans="1:140">
      <c r="A24" s="287"/>
      <c r="B24" s="288" t="s">
        <v>2718</v>
      </c>
      <c r="C24" s="292" t="s">
        <v>772</v>
      </c>
      <c r="D24" s="293">
        <v>10.4</v>
      </c>
      <c r="E24" s="288">
        <v>2.23</v>
      </c>
      <c r="F24" s="288" t="s">
        <v>2411</v>
      </c>
      <c r="G24" s="288"/>
      <c r="H24" s="291" t="s">
        <v>2733</v>
      </c>
      <c r="I24" s="288"/>
      <c r="J24" s="288"/>
      <c r="Q24" s="292" t="s">
        <v>370</v>
      </c>
      <c r="R24" s="292" t="s">
        <v>1230</v>
      </c>
      <c r="AM24" s="292" t="s">
        <v>3070</v>
      </c>
      <c r="AN24" s="292" t="s">
        <v>3097</v>
      </c>
      <c r="AO24" s="292" t="s">
        <v>1157</v>
      </c>
      <c r="AT24" s="292" t="s">
        <v>1195</v>
      </c>
      <c r="AZ24" s="292" t="s">
        <v>2977</v>
      </c>
      <c r="BB24" s="292" t="s">
        <v>4799</v>
      </c>
      <c r="BF24" s="292" t="s">
        <v>802</v>
      </c>
      <c r="BH24" s="292" t="s">
        <v>4099</v>
      </c>
      <c r="DT24" s="292" t="s">
        <v>3388</v>
      </c>
      <c r="EG24" s="292" t="s">
        <v>4819</v>
      </c>
      <c r="EJ24" s="292" t="s">
        <v>3614</v>
      </c>
    </row>
    <row r="25" spans="1:140">
      <c r="A25" s="287"/>
      <c r="B25" s="288" t="s">
        <v>2718</v>
      </c>
      <c r="C25" s="292" t="s">
        <v>329</v>
      </c>
      <c r="D25" s="293">
        <v>10.8</v>
      </c>
      <c r="E25" s="293">
        <v>1.8</v>
      </c>
      <c r="F25" s="293" t="s">
        <v>330</v>
      </c>
      <c r="G25" s="288"/>
      <c r="H25" s="291" t="s">
        <v>2734</v>
      </c>
      <c r="I25" s="288"/>
      <c r="J25" s="288"/>
      <c r="Q25" s="292" t="s">
        <v>371</v>
      </c>
      <c r="R25" s="292" t="s">
        <v>1231</v>
      </c>
      <c r="AM25" s="292" t="s">
        <v>626</v>
      </c>
      <c r="AN25" s="292" t="s">
        <v>606</v>
      </c>
      <c r="AO25" s="292" t="s">
        <v>1158</v>
      </c>
      <c r="AT25" s="292" t="s">
        <v>1196</v>
      </c>
      <c r="AZ25" s="292" t="s">
        <v>2978</v>
      </c>
      <c r="BB25" s="292" t="s">
        <v>1630</v>
      </c>
      <c r="BF25" s="292" t="s">
        <v>803</v>
      </c>
      <c r="BH25" s="292" t="s">
        <v>4100</v>
      </c>
      <c r="DT25" s="292" t="s">
        <v>821</v>
      </c>
      <c r="EG25" s="292" t="s">
        <v>1476</v>
      </c>
      <c r="EJ25" s="292" t="s">
        <v>3615</v>
      </c>
    </row>
    <row r="26" spans="1:140">
      <c r="A26" s="287"/>
      <c r="B26" s="288" t="s">
        <v>2718</v>
      </c>
      <c r="C26" s="292" t="s">
        <v>331</v>
      </c>
      <c r="D26" s="293">
        <v>11.1</v>
      </c>
      <c r="E26" s="293">
        <v>2</v>
      </c>
      <c r="F26" s="293" t="s">
        <v>332</v>
      </c>
      <c r="G26" s="288"/>
      <c r="H26" s="291" t="s">
        <v>2735</v>
      </c>
      <c r="I26" s="288"/>
      <c r="J26" s="288"/>
      <c r="Q26" s="292" t="s">
        <v>1708</v>
      </c>
      <c r="R26" s="292" t="s">
        <v>1232</v>
      </c>
      <c r="AM26" s="292" t="s">
        <v>627</v>
      </c>
      <c r="AN26" s="292" t="s">
        <v>3098</v>
      </c>
      <c r="AO26" s="292" t="s">
        <v>525</v>
      </c>
      <c r="AT26" s="292" t="s">
        <v>1197</v>
      </c>
      <c r="AZ26" s="292" t="s">
        <v>2979</v>
      </c>
      <c r="BB26" s="292" t="s">
        <v>1631</v>
      </c>
      <c r="BF26" s="292" t="s">
        <v>4322</v>
      </c>
      <c r="BH26" s="292" t="s">
        <v>4101</v>
      </c>
      <c r="DT26" s="292" t="s">
        <v>1448</v>
      </c>
      <c r="EG26" s="292" t="s">
        <v>1477</v>
      </c>
      <c r="EJ26" s="292" t="s">
        <v>3617</v>
      </c>
    </row>
    <row r="27" spans="1:140">
      <c r="A27" s="287"/>
      <c r="B27" s="288" t="s">
        <v>2718</v>
      </c>
      <c r="C27" s="292" t="s">
        <v>774</v>
      </c>
      <c r="D27" s="293">
        <v>11.98</v>
      </c>
      <c r="E27" s="293">
        <v>2.1</v>
      </c>
      <c r="F27" s="288" t="s">
        <v>2424</v>
      </c>
      <c r="G27" s="288"/>
      <c r="H27" s="291" t="s">
        <v>2736</v>
      </c>
      <c r="I27" s="288"/>
      <c r="J27" s="288"/>
      <c r="Q27" s="292" t="s">
        <v>372</v>
      </c>
      <c r="R27" s="292" t="s">
        <v>543</v>
      </c>
      <c r="AM27" s="292" t="s">
        <v>628</v>
      </c>
      <c r="AN27" s="292" t="s">
        <v>3099</v>
      </c>
      <c r="AO27" s="292" t="s">
        <v>527</v>
      </c>
      <c r="AT27" s="292" t="s">
        <v>1198</v>
      </c>
      <c r="AZ27" s="292" t="s">
        <v>2980</v>
      </c>
      <c r="BB27" s="292" t="s">
        <v>1632</v>
      </c>
      <c r="BF27" s="292" t="s">
        <v>4323</v>
      </c>
      <c r="BH27" s="292" t="s">
        <v>4102</v>
      </c>
      <c r="DT27" s="292" t="s">
        <v>985</v>
      </c>
      <c r="EG27" s="292" t="s">
        <v>1479</v>
      </c>
      <c r="EJ27" s="292" t="s">
        <v>3619</v>
      </c>
    </row>
    <row r="28" spans="1:140">
      <c r="A28" s="287"/>
      <c r="B28" s="288" t="s">
        <v>2718</v>
      </c>
      <c r="C28" s="292" t="s">
        <v>773</v>
      </c>
      <c r="D28" s="293">
        <v>11.98</v>
      </c>
      <c r="E28" s="293">
        <v>2.25</v>
      </c>
      <c r="F28" s="293" t="s">
        <v>2424</v>
      </c>
      <c r="G28" s="293"/>
      <c r="H28" s="291" t="s">
        <v>2737</v>
      </c>
      <c r="I28" s="293"/>
      <c r="J28" s="293"/>
      <c r="Q28" s="292" t="s">
        <v>373</v>
      </c>
      <c r="R28" s="292" t="s">
        <v>1421</v>
      </c>
      <c r="AM28" s="292" t="s">
        <v>629</v>
      </c>
      <c r="AN28" s="292" t="s">
        <v>3100</v>
      </c>
      <c r="AO28" s="292" t="s">
        <v>526</v>
      </c>
      <c r="AZ28" s="292" t="s">
        <v>2981</v>
      </c>
      <c r="BB28" s="292" t="s">
        <v>1633</v>
      </c>
      <c r="BF28" s="292" t="s">
        <v>4324</v>
      </c>
      <c r="BH28" s="292" t="s">
        <v>4103</v>
      </c>
      <c r="DT28" s="292" t="s">
        <v>984</v>
      </c>
      <c r="EG28" s="292" t="s">
        <v>1478</v>
      </c>
      <c r="EJ28" s="292" t="s">
        <v>3620</v>
      </c>
    </row>
    <row r="29" spans="1:140">
      <c r="A29" s="287"/>
      <c r="B29" s="288" t="s">
        <v>2718</v>
      </c>
      <c r="C29" s="292" t="s">
        <v>1700</v>
      </c>
      <c r="D29" s="288" t="s">
        <v>1702</v>
      </c>
      <c r="E29" s="288" t="s">
        <v>1703</v>
      </c>
      <c r="F29" s="288" t="s">
        <v>339</v>
      </c>
      <c r="G29" s="293"/>
      <c r="H29" s="291" t="s">
        <v>2738</v>
      </c>
      <c r="I29" s="293"/>
      <c r="J29" s="293"/>
      <c r="Q29" s="292" t="s">
        <v>374</v>
      </c>
      <c r="R29" s="292" t="s">
        <v>1233</v>
      </c>
      <c r="AM29" s="292" t="s">
        <v>630</v>
      </c>
      <c r="AN29" s="292" t="s">
        <v>637</v>
      </c>
      <c r="AO29" s="292" t="s">
        <v>4023</v>
      </c>
      <c r="AZ29" s="292" t="s">
        <v>2982</v>
      </c>
      <c r="BB29" s="292" t="s">
        <v>1634</v>
      </c>
      <c r="BF29" s="292" t="s">
        <v>4325</v>
      </c>
      <c r="BH29" s="292" t="s">
        <v>4104</v>
      </c>
      <c r="DT29" s="292" t="s">
        <v>1449</v>
      </c>
      <c r="EG29" s="292" t="s">
        <v>1385</v>
      </c>
      <c r="EJ29" s="292" t="s">
        <v>3621</v>
      </c>
    </row>
    <row r="30" spans="1:140">
      <c r="A30" s="287"/>
      <c r="B30" s="288" t="s">
        <v>2718</v>
      </c>
      <c r="C30" s="292" t="s">
        <v>1701</v>
      </c>
      <c r="D30" s="288" t="s">
        <v>1702</v>
      </c>
      <c r="E30" s="288" t="s">
        <v>1703</v>
      </c>
      <c r="F30" s="288" t="s">
        <v>339</v>
      </c>
      <c r="G30" s="288"/>
      <c r="H30" s="291" t="s">
        <v>2740</v>
      </c>
      <c r="I30" s="288"/>
      <c r="J30" s="288"/>
      <c r="K30" s="288"/>
      <c r="Q30" s="292" t="s">
        <v>3268</v>
      </c>
      <c r="R30" s="292" t="s">
        <v>537</v>
      </c>
      <c r="AM30" s="292" t="s">
        <v>3071</v>
      </c>
      <c r="AN30" s="292" t="s">
        <v>636</v>
      </c>
      <c r="AZ30" s="292" t="s">
        <v>438</v>
      </c>
      <c r="BB30" s="292" t="s">
        <v>1635</v>
      </c>
      <c r="BF30" s="292" t="s">
        <v>4326</v>
      </c>
      <c r="BH30" s="292" t="s">
        <v>4105</v>
      </c>
      <c r="DT30" s="292" t="s">
        <v>1447</v>
      </c>
      <c r="EG30" s="292" t="s">
        <v>1386</v>
      </c>
      <c r="EJ30" s="292" t="s">
        <v>3622</v>
      </c>
    </row>
    <row r="31" spans="1:140">
      <c r="A31" s="287"/>
      <c r="B31" s="288" t="s">
        <v>2718</v>
      </c>
      <c r="C31" s="292" t="s">
        <v>333</v>
      </c>
      <c r="D31" s="293">
        <v>13.15</v>
      </c>
      <c r="E31" s="293">
        <v>2.5</v>
      </c>
      <c r="F31" s="288" t="s">
        <v>334</v>
      </c>
      <c r="G31" s="288"/>
      <c r="H31" s="291" t="s">
        <v>2739</v>
      </c>
      <c r="I31" s="288"/>
      <c r="J31" s="288"/>
      <c r="K31" s="288"/>
      <c r="Q31" s="292" t="s">
        <v>3269</v>
      </c>
      <c r="R31" s="292" t="s">
        <v>1234</v>
      </c>
      <c r="AM31" s="292" t="s">
        <v>631</v>
      </c>
      <c r="AN31" s="292" t="s">
        <v>1139</v>
      </c>
      <c r="AZ31" s="292" t="s">
        <v>440</v>
      </c>
      <c r="BB31" s="292" t="s">
        <v>1636</v>
      </c>
      <c r="BF31" s="292" t="s">
        <v>4327</v>
      </c>
      <c r="BH31" s="292" t="s">
        <v>4106</v>
      </c>
      <c r="DT31" s="292" t="s">
        <v>1450</v>
      </c>
      <c r="EG31" s="292" t="s">
        <v>1387</v>
      </c>
      <c r="EJ31" s="292" t="s">
        <v>599</v>
      </c>
    </row>
    <row r="32" spans="1:140">
      <c r="A32" s="287"/>
      <c r="B32" s="288" t="s">
        <v>2720</v>
      </c>
      <c r="C32" s="292" t="s">
        <v>775</v>
      </c>
      <c r="D32" s="293">
        <v>9.99</v>
      </c>
      <c r="E32" s="293">
        <v>1.9</v>
      </c>
      <c r="F32" s="288" t="s">
        <v>337</v>
      </c>
      <c r="G32" s="288"/>
      <c r="H32" s="291" t="s">
        <v>2742</v>
      </c>
      <c r="I32" s="288"/>
      <c r="J32" s="288"/>
      <c r="K32" s="288"/>
      <c r="Q32" s="292" t="s">
        <v>375</v>
      </c>
      <c r="R32" s="292" t="s">
        <v>1235</v>
      </c>
      <c r="AM32" s="292" t="s">
        <v>3072</v>
      </c>
      <c r="AN32" s="292" t="s">
        <v>1140</v>
      </c>
      <c r="AZ32" s="292" t="s">
        <v>445</v>
      </c>
      <c r="BB32" s="292" t="s">
        <v>4288</v>
      </c>
      <c r="BF32" s="292" t="s">
        <v>4328</v>
      </c>
      <c r="BH32" s="292" t="s">
        <v>4107</v>
      </c>
      <c r="DT32" s="292" t="s">
        <v>1451</v>
      </c>
      <c r="EG32" s="292" t="s">
        <v>1480</v>
      </c>
      <c r="EJ32" s="292" t="s">
        <v>1722</v>
      </c>
    </row>
    <row r="33" spans="1:140">
      <c r="A33" s="287"/>
      <c r="B33" s="288" t="s">
        <v>2720</v>
      </c>
      <c r="C33" s="292" t="s">
        <v>776</v>
      </c>
      <c r="D33" s="293">
        <v>9.99</v>
      </c>
      <c r="E33" s="293">
        <v>2.1</v>
      </c>
      <c r="F33" s="288" t="s">
        <v>337</v>
      </c>
      <c r="G33" s="288"/>
      <c r="H33" s="291" t="s">
        <v>619</v>
      </c>
      <c r="I33" s="288"/>
      <c r="J33" s="288"/>
      <c r="K33" s="288"/>
      <c r="Q33" s="292" t="s">
        <v>3270</v>
      </c>
      <c r="R33" s="292" t="s">
        <v>1236</v>
      </c>
      <c r="AN33" s="292" t="s">
        <v>1141</v>
      </c>
      <c r="AZ33" s="292" t="s">
        <v>4796</v>
      </c>
      <c r="BB33" s="292" t="s">
        <v>4289</v>
      </c>
      <c r="BF33" s="292" t="s">
        <v>4329</v>
      </c>
      <c r="BH33" s="292" t="s">
        <v>4108</v>
      </c>
      <c r="DT33" s="292" t="s">
        <v>1452</v>
      </c>
      <c r="EG33" s="292" t="s">
        <v>1388</v>
      </c>
      <c r="EJ33" s="292" t="s">
        <v>1723</v>
      </c>
    </row>
    <row r="34" spans="1:140">
      <c r="A34" s="287"/>
      <c r="B34" s="288" t="s">
        <v>2720</v>
      </c>
      <c r="C34" s="292" t="s">
        <v>338</v>
      </c>
      <c r="D34" s="293">
        <v>11.99</v>
      </c>
      <c r="E34" s="293">
        <v>2.6</v>
      </c>
      <c r="F34" s="288" t="s">
        <v>339</v>
      </c>
      <c r="G34" s="288"/>
      <c r="H34" s="291" t="s">
        <v>2744</v>
      </c>
      <c r="I34" s="288"/>
      <c r="J34" s="288"/>
      <c r="K34" s="288"/>
      <c r="Q34" s="292" t="s">
        <v>3271</v>
      </c>
      <c r="R34" s="292" t="s">
        <v>1237</v>
      </c>
      <c r="AN34" s="292" t="s">
        <v>607</v>
      </c>
      <c r="BF34" s="292" t="s">
        <v>4330</v>
      </c>
      <c r="BH34" s="292" t="s">
        <v>4109</v>
      </c>
      <c r="DT34" s="292" t="s">
        <v>1453</v>
      </c>
      <c r="EG34" s="292" t="s">
        <v>1389</v>
      </c>
      <c r="EJ34" s="292" t="s">
        <v>3623</v>
      </c>
    </row>
    <row r="35" spans="1:140">
      <c r="A35" s="287"/>
      <c r="B35" s="288" t="s">
        <v>2720</v>
      </c>
      <c r="C35" s="292" t="s">
        <v>583</v>
      </c>
      <c r="D35" s="288" t="s">
        <v>584</v>
      </c>
      <c r="E35" s="288" t="s">
        <v>437</v>
      </c>
      <c r="F35" s="288" t="s">
        <v>585</v>
      </c>
      <c r="G35" s="288"/>
      <c r="H35" s="291" t="s">
        <v>2745</v>
      </c>
      <c r="I35" s="288"/>
      <c r="J35" s="288"/>
      <c r="K35" s="288"/>
      <c r="Q35" s="292" t="s">
        <v>2046</v>
      </c>
      <c r="R35" s="292" t="s">
        <v>1238</v>
      </c>
      <c r="AN35" s="292" t="s">
        <v>1142</v>
      </c>
      <c r="BF35" s="292" t="s">
        <v>1654</v>
      </c>
      <c r="BH35" s="292" t="s">
        <v>4110</v>
      </c>
      <c r="DT35" s="292" t="s">
        <v>986</v>
      </c>
      <c r="EG35" s="292" t="s">
        <v>1390</v>
      </c>
      <c r="EJ35" s="292" t="s">
        <v>3645</v>
      </c>
    </row>
    <row r="36" spans="1:140">
      <c r="A36" s="287"/>
      <c r="B36" s="288" t="s">
        <v>2720</v>
      </c>
      <c r="C36" s="292" t="s">
        <v>587</v>
      </c>
      <c r="D36" s="288" t="s">
        <v>586</v>
      </c>
      <c r="E36" s="288" t="s">
        <v>480</v>
      </c>
      <c r="F36" s="288" t="s">
        <v>1154</v>
      </c>
      <c r="G36" s="288"/>
      <c r="H36" s="291" t="s">
        <v>2746</v>
      </c>
      <c r="I36" s="288"/>
      <c r="J36" s="288"/>
      <c r="K36" s="288"/>
      <c r="Q36" s="292" t="s">
        <v>3272</v>
      </c>
      <c r="R36" s="292" t="s">
        <v>1423</v>
      </c>
      <c r="AN36" s="292" t="s">
        <v>534</v>
      </c>
      <c r="BF36" s="292" t="s">
        <v>4331</v>
      </c>
      <c r="BH36" s="292" t="s">
        <v>4111</v>
      </c>
      <c r="DT36" s="292" t="s">
        <v>987</v>
      </c>
      <c r="EG36" s="292" t="s">
        <v>1391</v>
      </c>
      <c r="EJ36" s="292" t="s">
        <v>3646</v>
      </c>
    </row>
    <row r="37" spans="1:140">
      <c r="A37" s="287"/>
      <c r="B37" s="288" t="s">
        <v>2719</v>
      </c>
      <c r="C37" s="292" t="s">
        <v>345</v>
      </c>
      <c r="D37" s="293">
        <v>11.22</v>
      </c>
      <c r="E37" s="293">
        <v>2.15</v>
      </c>
      <c r="F37" s="293" t="s">
        <v>2437</v>
      </c>
      <c r="G37" s="288"/>
      <c r="H37" s="291" t="s">
        <v>2747</v>
      </c>
      <c r="I37" s="288"/>
      <c r="J37" s="288"/>
      <c r="K37" s="288"/>
      <c r="Q37" s="292" t="s">
        <v>3273</v>
      </c>
      <c r="R37" s="292" t="s">
        <v>1422</v>
      </c>
      <c r="BF37" s="292" t="s">
        <v>1655</v>
      </c>
      <c r="BH37" s="292" t="s">
        <v>4113</v>
      </c>
      <c r="DT37" s="292" t="s">
        <v>1454</v>
      </c>
      <c r="EG37" s="292" t="s">
        <v>1481</v>
      </c>
      <c r="EJ37" s="292" t="s">
        <v>1729</v>
      </c>
    </row>
    <row r="38" spans="1:140">
      <c r="A38" s="287"/>
      <c r="B38" s="288" t="s">
        <v>2719</v>
      </c>
      <c r="C38" s="292" t="s">
        <v>346</v>
      </c>
      <c r="D38" s="293">
        <v>11.65</v>
      </c>
      <c r="E38" s="293">
        <v>2.29</v>
      </c>
      <c r="F38" s="293" t="s">
        <v>347</v>
      </c>
      <c r="G38" s="288"/>
      <c r="H38" s="291" t="s">
        <v>2748</v>
      </c>
      <c r="I38" s="288"/>
      <c r="J38" s="288"/>
      <c r="K38" s="288"/>
      <c r="Q38" s="292" t="s">
        <v>377</v>
      </c>
      <c r="R38" s="292" t="s">
        <v>1239</v>
      </c>
      <c r="BF38" s="292" t="s">
        <v>1656</v>
      </c>
      <c r="BH38" s="292" t="s">
        <v>4112</v>
      </c>
      <c r="DT38" s="292" t="s">
        <v>1455</v>
      </c>
      <c r="EG38" s="292" t="s">
        <v>1482</v>
      </c>
      <c r="EJ38" s="292" t="s">
        <v>3654</v>
      </c>
    </row>
    <row r="39" spans="1:140">
      <c r="A39" s="287"/>
      <c r="B39" s="288" t="s">
        <v>2719</v>
      </c>
      <c r="C39" s="292" t="s">
        <v>348</v>
      </c>
      <c r="D39" s="293">
        <v>11.6</v>
      </c>
      <c r="E39" s="293">
        <v>2.21</v>
      </c>
      <c r="F39" s="293" t="s">
        <v>349</v>
      </c>
      <c r="G39" s="288"/>
      <c r="H39" s="291" t="s">
        <v>2749</v>
      </c>
      <c r="I39" s="288"/>
      <c r="J39" s="288"/>
      <c r="K39" s="288"/>
      <c r="Q39" s="292" t="s">
        <v>1709</v>
      </c>
      <c r="R39" s="292" t="s">
        <v>1240</v>
      </c>
      <c r="BF39" s="292" t="s">
        <v>4332</v>
      </c>
      <c r="BH39" s="292" t="s">
        <v>4115</v>
      </c>
      <c r="DT39" s="292" t="s">
        <v>1456</v>
      </c>
      <c r="EG39" s="292" t="s">
        <v>1485</v>
      </c>
      <c r="EJ39" s="292" t="s">
        <v>3655</v>
      </c>
    </row>
    <row r="40" spans="1:140">
      <c r="A40" s="287"/>
      <c r="B40" s="288" t="s">
        <v>2719</v>
      </c>
      <c r="C40" s="292" t="s">
        <v>351</v>
      </c>
      <c r="D40" s="288" t="s">
        <v>2038</v>
      </c>
      <c r="E40" s="293">
        <v>2.2599999999999998</v>
      </c>
      <c r="F40" s="293" t="s">
        <v>352</v>
      </c>
      <c r="G40" s="288"/>
      <c r="H40" s="291" t="s">
        <v>2750</v>
      </c>
      <c r="I40" s="288"/>
      <c r="J40" s="288"/>
      <c r="K40" s="288"/>
      <c r="Q40" s="292" t="s">
        <v>3274</v>
      </c>
      <c r="R40" s="292" t="s">
        <v>1424</v>
      </c>
      <c r="BF40" s="292" t="s">
        <v>2873</v>
      </c>
      <c r="BH40" s="292" t="s">
        <v>4114</v>
      </c>
      <c r="DT40" s="292" t="s">
        <v>4792</v>
      </c>
      <c r="EG40" s="292" t="s">
        <v>1483</v>
      </c>
      <c r="EJ40" s="292" t="s">
        <v>3670</v>
      </c>
    </row>
    <row r="41" spans="1:140">
      <c r="A41" s="287"/>
      <c r="B41" s="288" t="s">
        <v>2719</v>
      </c>
      <c r="C41" s="292" t="s">
        <v>353</v>
      </c>
      <c r="D41" s="293">
        <v>12.78</v>
      </c>
      <c r="E41" s="293">
        <v>2.41</v>
      </c>
      <c r="F41" s="293" t="s">
        <v>349</v>
      </c>
      <c r="G41" s="288"/>
      <c r="H41" s="291" t="s">
        <v>2751</v>
      </c>
      <c r="I41" s="288"/>
      <c r="J41" s="288"/>
      <c r="K41" s="288"/>
      <c r="Q41" s="292" t="s">
        <v>1710</v>
      </c>
      <c r="R41" s="292" t="s">
        <v>1425</v>
      </c>
      <c r="BF41" s="292" t="s">
        <v>2874</v>
      </c>
      <c r="BH41" s="292" t="s">
        <v>1661</v>
      </c>
      <c r="DT41" s="292" t="s">
        <v>988</v>
      </c>
      <c r="EG41" s="292" t="s">
        <v>1484</v>
      </c>
      <c r="EJ41" s="292" t="s">
        <v>1733</v>
      </c>
    </row>
    <row r="42" spans="1:140">
      <c r="A42" s="287"/>
      <c r="B42" s="288" t="s">
        <v>2719</v>
      </c>
      <c r="C42" s="292" t="s">
        <v>354</v>
      </c>
      <c r="D42" s="293">
        <v>13.21</v>
      </c>
      <c r="E42" s="293">
        <v>2.4500000000000002</v>
      </c>
      <c r="F42" s="293" t="s">
        <v>355</v>
      </c>
      <c r="G42" s="288"/>
      <c r="H42" s="291" t="s">
        <v>2752</v>
      </c>
      <c r="I42" s="288"/>
      <c r="J42" s="288"/>
      <c r="K42" s="288"/>
      <c r="Q42" s="292" t="s">
        <v>1716</v>
      </c>
      <c r="R42" s="292" t="s">
        <v>1241</v>
      </c>
      <c r="BF42" s="292" t="s">
        <v>609</v>
      </c>
      <c r="BH42" s="292" t="s">
        <v>1660</v>
      </c>
      <c r="DT42" s="292" t="s">
        <v>989</v>
      </c>
      <c r="EG42" s="292" t="s">
        <v>1392</v>
      </c>
      <c r="EJ42" s="292" t="s">
        <v>1735</v>
      </c>
    </row>
    <row r="43" spans="1:140">
      <c r="A43" s="287"/>
      <c r="B43" s="288" t="s">
        <v>2719</v>
      </c>
      <c r="C43" s="292" t="s">
        <v>356</v>
      </c>
      <c r="D43" s="293">
        <v>13.87</v>
      </c>
      <c r="E43" s="293">
        <v>2.33</v>
      </c>
      <c r="F43" s="293" t="s">
        <v>2435</v>
      </c>
      <c r="G43" s="288"/>
      <c r="H43" s="291" t="s">
        <v>2753</v>
      </c>
      <c r="I43" s="288"/>
      <c r="J43" s="288"/>
      <c r="K43" s="288"/>
      <c r="R43" s="292" t="s">
        <v>542</v>
      </c>
      <c r="BF43" s="292" t="s">
        <v>1657</v>
      </c>
      <c r="BH43" s="292" t="s">
        <v>1663</v>
      </c>
      <c r="DT43" s="292" t="s">
        <v>990</v>
      </c>
      <c r="EG43" s="292" t="s">
        <v>1393</v>
      </c>
      <c r="EJ43" s="292" t="s">
        <v>3674</v>
      </c>
    </row>
    <row r="44" spans="1:140">
      <c r="A44" s="287"/>
      <c r="B44" s="288" t="s">
        <v>2719</v>
      </c>
      <c r="C44" s="292" t="s">
        <v>357</v>
      </c>
      <c r="D44" s="293">
        <v>13.9</v>
      </c>
      <c r="E44" s="293">
        <v>3.25</v>
      </c>
      <c r="F44" s="288" t="s">
        <v>2411</v>
      </c>
      <c r="G44" s="288"/>
      <c r="H44" s="291" t="s">
        <v>2947</v>
      </c>
      <c r="I44" s="293"/>
      <c r="J44" s="293"/>
      <c r="K44" s="293"/>
      <c r="R44" s="292" t="s">
        <v>1426</v>
      </c>
      <c r="BF44" s="292" t="s">
        <v>1658</v>
      </c>
      <c r="BH44" s="292" t="s">
        <v>1662</v>
      </c>
      <c r="DT44" s="292" t="s">
        <v>991</v>
      </c>
      <c r="EG44" s="292" t="s">
        <v>505</v>
      </c>
      <c r="EJ44" s="292" t="s">
        <v>3675</v>
      </c>
    </row>
    <row r="45" spans="1:140">
      <c r="A45" s="287"/>
      <c r="B45" s="288" t="s">
        <v>2719</v>
      </c>
      <c r="C45" s="292" t="s">
        <v>358</v>
      </c>
      <c r="D45" s="288" t="s">
        <v>2039</v>
      </c>
      <c r="E45" s="293">
        <v>2.7</v>
      </c>
      <c r="F45" s="293" t="s">
        <v>355</v>
      </c>
      <c r="G45" s="288"/>
      <c r="H45" s="291" t="s">
        <v>2948</v>
      </c>
      <c r="I45" s="293"/>
      <c r="J45" s="293"/>
      <c r="K45" s="293"/>
      <c r="R45" s="292" t="s">
        <v>2103</v>
      </c>
      <c r="BF45" s="292" t="s">
        <v>4333</v>
      </c>
      <c r="BH45" s="292" t="s">
        <v>4116</v>
      </c>
      <c r="DT45" s="292" t="s">
        <v>992</v>
      </c>
      <c r="EG45" s="292" t="s">
        <v>509</v>
      </c>
      <c r="EJ45" s="292" t="s">
        <v>3677</v>
      </c>
    </row>
    <row r="46" spans="1:140">
      <c r="A46" s="287"/>
      <c r="B46" s="288" t="s">
        <v>2719</v>
      </c>
      <c r="C46" s="292" t="s">
        <v>359</v>
      </c>
      <c r="D46" s="293">
        <v>15.24</v>
      </c>
      <c r="E46" s="293">
        <v>3.31</v>
      </c>
      <c r="F46" s="293" t="s">
        <v>2409</v>
      </c>
      <c r="G46" s="293"/>
      <c r="H46" s="291" t="s">
        <v>2983</v>
      </c>
      <c r="I46" s="293"/>
      <c r="J46" s="293"/>
      <c r="K46" s="293"/>
      <c r="R46" s="292" t="s">
        <v>1242</v>
      </c>
      <c r="BF46" s="292" t="s">
        <v>4334</v>
      </c>
      <c r="BH46" s="292" t="s">
        <v>4117</v>
      </c>
      <c r="DT46" s="292" t="s">
        <v>993</v>
      </c>
      <c r="EG46" s="292" t="s">
        <v>504</v>
      </c>
      <c r="EJ46" s="292" t="s">
        <v>3679</v>
      </c>
    </row>
    <row r="47" spans="1:140">
      <c r="A47" s="287"/>
      <c r="B47" s="288" t="s">
        <v>2719</v>
      </c>
      <c r="C47" s="292" t="s">
        <v>360</v>
      </c>
      <c r="D47" s="293">
        <v>16.079999999999998</v>
      </c>
      <c r="E47" s="293">
        <v>2.84</v>
      </c>
      <c r="F47" s="293" t="s">
        <v>2405</v>
      </c>
      <c r="G47" s="293"/>
      <c r="H47" s="291" t="s">
        <v>2984</v>
      </c>
      <c r="I47" s="288"/>
      <c r="J47" s="288"/>
      <c r="K47" s="288"/>
      <c r="R47" s="292" t="s">
        <v>1427</v>
      </c>
      <c r="BH47" s="292" t="s">
        <v>1664</v>
      </c>
      <c r="DT47" s="292" t="s">
        <v>994</v>
      </c>
      <c r="EG47" s="292" t="s">
        <v>1394</v>
      </c>
      <c r="EJ47" s="292" t="s">
        <v>602</v>
      </c>
    </row>
    <row r="48" spans="1:140">
      <c r="A48" s="287"/>
      <c r="B48" s="288" t="s">
        <v>2719</v>
      </c>
      <c r="C48" s="292" t="s">
        <v>361</v>
      </c>
      <c r="D48" s="293">
        <v>16.68</v>
      </c>
      <c r="E48" s="293">
        <v>2.2400000000000002</v>
      </c>
      <c r="F48" s="293" t="s">
        <v>328</v>
      </c>
      <c r="G48" s="293"/>
      <c r="H48" s="291" t="s">
        <v>2951</v>
      </c>
      <c r="I48" s="293"/>
      <c r="J48" s="293"/>
      <c r="K48" s="293"/>
      <c r="R48" s="292" t="s">
        <v>1428</v>
      </c>
      <c r="BH48" s="292" t="s">
        <v>1665</v>
      </c>
      <c r="DT48" s="292" t="s">
        <v>487</v>
      </c>
      <c r="EG48" s="292" t="s">
        <v>1486</v>
      </c>
      <c r="EJ48" s="292" t="s">
        <v>523</v>
      </c>
    </row>
    <row r="49" spans="1:140">
      <c r="A49" s="287"/>
      <c r="B49" s="288" t="s">
        <v>2721</v>
      </c>
      <c r="C49" s="292" t="s">
        <v>362</v>
      </c>
      <c r="D49" s="288" t="s">
        <v>2040</v>
      </c>
      <c r="E49" s="293">
        <v>1.85</v>
      </c>
      <c r="F49" s="293" t="s">
        <v>2412</v>
      </c>
      <c r="G49" s="288"/>
      <c r="H49" s="291" t="s">
        <v>2952</v>
      </c>
      <c r="I49" s="293"/>
      <c r="J49" s="293"/>
      <c r="K49" s="293"/>
      <c r="R49" s="292" t="s">
        <v>1429</v>
      </c>
      <c r="BH49" s="292" t="s">
        <v>1667</v>
      </c>
      <c r="DT49" s="292" t="s">
        <v>995</v>
      </c>
      <c r="EG49" s="292" t="s">
        <v>1487</v>
      </c>
      <c r="EJ49" s="292" t="s">
        <v>3683</v>
      </c>
    </row>
    <row r="50" spans="1:140">
      <c r="A50" s="287"/>
      <c r="B50" s="288" t="s">
        <v>2721</v>
      </c>
      <c r="C50" s="292" t="s">
        <v>777</v>
      </c>
      <c r="D50" s="293">
        <v>9.27</v>
      </c>
      <c r="E50" s="293">
        <v>1.75</v>
      </c>
      <c r="F50" s="288" t="s">
        <v>334</v>
      </c>
      <c r="G50" s="293"/>
      <c r="H50" s="291" t="s">
        <v>2953</v>
      </c>
      <c r="I50" s="288"/>
      <c r="J50" s="288"/>
      <c r="K50" s="288"/>
      <c r="R50" s="292" t="s">
        <v>1430</v>
      </c>
      <c r="BH50" s="292" t="s">
        <v>1666</v>
      </c>
      <c r="DT50" s="292" t="s">
        <v>996</v>
      </c>
      <c r="EG50" s="292" t="s">
        <v>1395</v>
      </c>
      <c r="EJ50" s="292" t="s">
        <v>590</v>
      </c>
    </row>
    <row r="51" spans="1:140">
      <c r="A51" s="287"/>
      <c r="B51" s="288" t="s">
        <v>2721</v>
      </c>
      <c r="C51" s="292" t="s">
        <v>778</v>
      </c>
      <c r="D51" s="293">
        <v>9.27</v>
      </c>
      <c r="E51" s="293">
        <v>2</v>
      </c>
      <c r="F51" s="288" t="s">
        <v>334</v>
      </c>
      <c r="G51" s="293"/>
      <c r="H51" s="291" t="s">
        <v>2954</v>
      </c>
      <c r="I51" s="288"/>
      <c r="J51" s="288"/>
      <c r="K51" s="288"/>
      <c r="R51" s="292" t="s">
        <v>3106</v>
      </c>
      <c r="BH51" s="292" t="s">
        <v>485</v>
      </c>
      <c r="DT51" s="292" t="s">
        <v>997</v>
      </c>
      <c r="EG51" s="292" t="s">
        <v>1396</v>
      </c>
      <c r="EJ51" s="292" t="s">
        <v>3684</v>
      </c>
    </row>
    <row r="52" spans="1:140">
      <c r="A52" s="287"/>
      <c r="B52" s="288" t="s">
        <v>2721</v>
      </c>
      <c r="C52" s="292" t="s">
        <v>779</v>
      </c>
      <c r="D52" s="293">
        <v>9.9</v>
      </c>
      <c r="E52" s="293">
        <v>1.5</v>
      </c>
      <c r="F52" s="293" t="s">
        <v>332</v>
      </c>
      <c r="G52" s="288"/>
      <c r="H52" s="291" t="s">
        <v>1642</v>
      </c>
      <c r="I52" s="288"/>
      <c r="J52" s="288"/>
      <c r="K52" s="288"/>
      <c r="R52" s="292" t="s">
        <v>1243</v>
      </c>
      <c r="BH52" s="292" t="s">
        <v>4811</v>
      </c>
      <c r="DT52" s="292" t="s">
        <v>998</v>
      </c>
      <c r="EG52" s="292" t="s">
        <v>1397</v>
      </c>
      <c r="EJ52" s="292" t="s">
        <v>3036</v>
      </c>
    </row>
    <row r="53" spans="1:140">
      <c r="A53" s="287"/>
      <c r="B53" s="288" t="s">
        <v>2721</v>
      </c>
      <c r="C53" s="292" t="s">
        <v>780</v>
      </c>
      <c r="D53" s="293">
        <v>9.9</v>
      </c>
      <c r="E53" s="293">
        <v>1.8</v>
      </c>
      <c r="F53" s="293" t="s">
        <v>332</v>
      </c>
      <c r="G53" s="288"/>
      <c r="H53" s="291" t="s">
        <v>2957</v>
      </c>
      <c r="I53" s="288"/>
      <c r="J53" s="288"/>
      <c r="K53" s="288"/>
      <c r="R53" s="292" t="s">
        <v>1244</v>
      </c>
      <c r="BH53" s="292" t="s">
        <v>4118</v>
      </c>
      <c r="DT53" s="292" t="s">
        <v>822</v>
      </c>
      <c r="EG53" s="292" t="s">
        <v>1398</v>
      </c>
      <c r="EJ53" s="292" t="s">
        <v>3037</v>
      </c>
    </row>
    <row r="54" spans="1:140">
      <c r="A54" s="287"/>
      <c r="B54" s="288" t="s">
        <v>2721</v>
      </c>
      <c r="C54" s="292" t="s">
        <v>1707</v>
      </c>
      <c r="D54" s="288" t="s">
        <v>2057</v>
      </c>
      <c r="E54" s="288" t="s">
        <v>2058</v>
      </c>
      <c r="F54" s="288" t="s">
        <v>2411</v>
      </c>
      <c r="G54" s="288"/>
      <c r="H54" s="291" t="s">
        <v>2958</v>
      </c>
      <c r="I54" s="288"/>
      <c r="J54" s="288"/>
      <c r="K54" s="288"/>
      <c r="R54" s="292" t="s">
        <v>1245</v>
      </c>
      <c r="BH54" s="292" t="s">
        <v>4119</v>
      </c>
      <c r="DT54" s="292" t="s">
        <v>824</v>
      </c>
      <c r="EG54" s="292" t="s">
        <v>500</v>
      </c>
      <c r="EJ54" s="292" t="s">
        <v>3047</v>
      </c>
    </row>
    <row r="55" spans="1:140">
      <c r="A55" s="287"/>
      <c r="B55" s="288" t="s">
        <v>2721</v>
      </c>
      <c r="C55" s="292" t="s">
        <v>363</v>
      </c>
      <c r="D55" s="293">
        <v>10.35</v>
      </c>
      <c r="E55" s="293">
        <v>1.85</v>
      </c>
      <c r="F55" s="293" t="s">
        <v>364</v>
      </c>
      <c r="G55" s="288"/>
      <c r="H55" s="291" t="s">
        <v>2959</v>
      </c>
      <c r="I55" s="288"/>
      <c r="J55" s="288"/>
      <c r="K55" s="288"/>
      <c r="R55" s="292" t="s">
        <v>3108</v>
      </c>
      <c r="BH55" s="292" t="s">
        <v>1669</v>
      </c>
      <c r="DT55" s="292" t="s">
        <v>489</v>
      </c>
      <c r="EG55" s="292" t="s">
        <v>1399</v>
      </c>
      <c r="EJ55" s="292" t="s">
        <v>516</v>
      </c>
    </row>
    <row r="56" spans="1:140">
      <c r="A56" s="287"/>
      <c r="B56" s="288" t="s">
        <v>2721</v>
      </c>
      <c r="C56" s="292" t="s">
        <v>365</v>
      </c>
      <c r="D56" s="293">
        <v>9.85</v>
      </c>
      <c r="E56" s="293">
        <v>1.64</v>
      </c>
      <c r="F56" s="293" t="s">
        <v>347</v>
      </c>
      <c r="G56" s="288"/>
      <c r="H56" s="291" t="s">
        <v>1643</v>
      </c>
      <c r="I56" s="293"/>
      <c r="J56" s="293"/>
      <c r="K56" s="293"/>
      <c r="R56" s="292" t="s">
        <v>3109</v>
      </c>
      <c r="BH56" s="292" t="s">
        <v>1668</v>
      </c>
      <c r="DT56" s="292" t="s">
        <v>492</v>
      </c>
      <c r="EG56" s="292" t="s">
        <v>1489</v>
      </c>
      <c r="EJ56" s="292" t="s">
        <v>3051</v>
      </c>
    </row>
    <row r="57" spans="1:140">
      <c r="A57" s="287"/>
      <c r="B57" s="288" t="s">
        <v>2721</v>
      </c>
      <c r="C57" s="292" t="s">
        <v>781</v>
      </c>
      <c r="D57" s="293">
        <v>10.79</v>
      </c>
      <c r="E57" s="293">
        <v>2</v>
      </c>
      <c r="F57" s="293" t="s">
        <v>344</v>
      </c>
      <c r="G57" s="288"/>
      <c r="H57" s="291" t="s">
        <v>2961</v>
      </c>
      <c r="I57" s="293"/>
      <c r="J57" s="293"/>
      <c r="K57" s="293"/>
      <c r="R57" s="292" t="s">
        <v>3107</v>
      </c>
      <c r="BH57" s="292" t="s">
        <v>4120</v>
      </c>
      <c r="DT57" s="292" t="s">
        <v>999</v>
      </c>
      <c r="EG57" s="292" t="s">
        <v>1488</v>
      </c>
      <c r="EJ57" s="292" t="s">
        <v>3073</v>
      </c>
    </row>
    <row r="58" spans="1:140">
      <c r="A58" s="287"/>
      <c r="B58" s="288" t="s">
        <v>2721</v>
      </c>
      <c r="C58" s="292" t="s">
        <v>782</v>
      </c>
      <c r="D58" s="293">
        <v>10.79</v>
      </c>
      <c r="E58" s="293">
        <v>2.2400000000000002</v>
      </c>
      <c r="F58" s="293" t="s">
        <v>344</v>
      </c>
      <c r="G58" s="293"/>
      <c r="H58" s="291" t="s">
        <v>3541</v>
      </c>
      <c r="I58" s="288"/>
      <c r="J58" s="288"/>
      <c r="K58" s="288"/>
      <c r="R58" s="292" t="s">
        <v>3110</v>
      </c>
      <c r="BH58" s="292" t="s">
        <v>4121</v>
      </c>
      <c r="EG58" s="292" t="s">
        <v>1400</v>
      </c>
      <c r="EJ58" s="292" t="s">
        <v>3074</v>
      </c>
    </row>
    <row r="59" spans="1:140">
      <c r="A59" s="287"/>
      <c r="B59" s="288" t="s">
        <v>2721</v>
      </c>
      <c r="C59" s="292" t="s">
        <v>783</v>
      </c>
      <c r="D59" s="293">
        <v>10.79</v>
      </c>
      <c r="E59" s="293">
        <v>2</v>
      </c>
      <c r="F59" s="293" t="s">
        <v>344</v>
      </c>
      <c r="G59" s="293"/>
      <c r="H59" s="291" t="s">
        <v>3543</v>
      </c>
      <c r="I59" s="288"/>
      <c r="J59" s="288"/>
      <c r="K59" s="288"/>
      <c r="R59" s="292" t="s">
        <v>3111</v>
      </c>
      <c r="BH59" s="292" t="s">
        <v>4122</v>
      </c>
      <c r="EG59" s="292" t="s">
        <v>502</v>
      </c>
      <c r="EJ59" s="292" t="s">
        <v>519</v>
      </c>
    </row>
    <row r="60" spans="1:140">
      <c r="A60" s="287"/>
      <c r="B60" s="288" t="s">
        <v>2721</v>
      </c>
      <c r="C60" s="292" t="s">
        <v>784</v>
      </c>
      <c r="D60" s="293">
        <v>10.96</v>
      </c>
      <c r="E60" s="293">
        <v>1.92</v>
      </c>
      <c r="F60" s="293" t="s">
        <v>332</v>
      </c>
      <c r="G60" s="288"/>
      <c r="H60" s="291" t="s">
        <v>3542</v>
      </c>
      <c r="I60" s="288"/>
      <c r="J60" s="288"/>
      <c r="K60" s="288"/>
      <c r="R60" s="292" t="s">
        <v>3112</v>
      </c>
      <c r="BH60" s="292" t="s">
        <v>1670</v>
      </c>
      <c r="EG60" s="292" t="s">
        <v>1401</v>
      </c>
      <c r="EJ60" s="292" t="s">
        <v>3075</v>
      </c>
    </row>
    <row r="61" spans="1:140">
      <c r="A61" s="287"/>
      <c r="B61" s="288" t="s">
        <v>2721</v>
      </c>
      <c r="C61" s="292" t="s">
        <v>1706</v>
      </c>
      <c r="D61" s="288" t="s">
        <v>2091</v>
      </c>
      <c r="E61" s="288" t="s">
        <v>2058</v>
      </c>
      <c r="F61" s="288" t="s">
        <v>3089</v>
      </c>
      <c r="G61" s="288"/>
      <c r="H61" s="291" t="s">
        <v>3544</v>
      </c>
      <c r="I61" s="293"/>
      <c r="J61" s="293"/>
      <c r="K61" s="293"/>
      <c r="R61" s="292" t="s">
        <v>3113</v>
      </c>
      <c r="BH61" s="292" t="s">
        <v>1671</v>
      </c>
      <c r="EG61" s="292" t="s">
        <v>1402</v>
      </c>
      <c r="EJ61" s="292" t="s">
        <v>3076</v>
      </c>
    </row>
    <row r="62" spans="1:140">
      <c r="A62" s="287"/>
      <c r="B62" s="288" t="s">
        <v>2721</v>
      </c>
      <c r="C62" s="292" t="s">
        <v>3263</v>
      </c>
      <c r="D62" s="293">
        <v>11.1</v>
      </c>
      <c r="E62" s="293">
        <v>1.4</v>
      </c>
      <c r="F62" s="288" t="s">
        <v>366</v>
      </c>
      <c r="G62" s="288"/>
      <c r="H62" s="291" t="s">
        <v>3545</v>
      </c>
      <c r="I62" s="288"/>
      <c r="J62" s="288"/>
      <c r="K62" s="288"/>
      <c r="R62" s="292" t="s">
        <v>3114</v>
      </c>
      <c r="BH62" s="292" t="s">
        <v>1672</v>
      </c>
      <c r="EG62" s="292" t="s">
        <v>1490</v>
      </c>
      <c r="EJ62" s="292" t="s">
        <v>3077</v>
      </c>
    </row>
    <row r="63" spans="1:140">
      <c r="A63" s="287"/>
      <c r="B63" s="288" t="s">
        <v>2721</v>
      </c>
      <c r="C63" s="292" t="s">
        <v>3262</v>
      </c>
      <c r="D63" s="293">
        <v>11.1</v>
      </c>
      <c r="E63" s="293">
        <v>1.85</v>
      </c>
      <c r="F63" s="293" t="s">
        <v>366</v>
      </c>
      <c r="G63" s="293"/>
      <c r="H63" s="291" t="s">
        <v>3546</v>
      </c>
      <c r="I63" s="288"/>
      <c r="J63" s="288"/>
      <c r="K63" s="288"/>
      <c r="R63" s="292" t="s">
        <v>3115</v>
      </c>
      <c r="BH63" s="292" t="s">
        <v>4123</v>
      </c>
      <c r="EG63" s="292" t="s">
        <v>503</v>
      </c>
      <c r="EJ63" s="292" t="s">
        <v>3078</v>
      </c>
    </row>
    <row r="64" spans="1:140">
      <c r="A64" s="287"/>
      <c r="B64" s="288" t="s">
        <v>2721</v>
      </c>
      <c r="C64" s="292" t="s">
        <v>367</v>
      </c>
      <c r="D64" s="293">
        <v>11.36</v>
      </c>
      <c r="E64" s="293">
        <v>1.8</v>
      </c>
      <c r="F64" s="293" t="s">
        <v>330</v>
      </c>
      <c r="G64" s="288"/>
      <c r="H64" s="291" t="s">
        <v>3547</v>
      </c>
      <c r="I64" s="293"/>
      <c r="J64" s="293"/>
      <c r="K64" s="293"/>
      <c r="R64" s="292" t="s">
        <v>3116</v>
      </c>
      <c r="BH64" s="292" t="s">
        <v>4124</v>
      </c>
      <c r="EJ64" s="292" t="s">
        <v>520</v>
      </c>
    </row>
    <row r="65" spans="1:140">
      <c r="A65" s="287"/>
      <c r="B65" s="288" t="s">
        <v>2721</v>
      </c>
      <c r="C65" s="292" t="s">
        <v>368</v>
      </c>
      <c r="D65" s="293">
        <v>11.81</v>
      </c>
      <c r="E65" s="293">
        <v>1.85</v>
      </c>
      <c r="F65" s="293" t="s">
        <v>366</v>
      </c>
      <c r="G65" s="288"/>
      <c r="H65" s="291" t="s">
        <v>1683</v>
      </c>
      <c r="I65" s="288"/>
      <c r="J65" s="288"/>
      <c r="K65" s="288"/>
      <c r="R65" s="292" t="s">
        <v>3117</v>
      </c>
      <c r="BH65" s="292" t="s">
        <v>4125</v>
      </c>
      <c r="EJ65" s="292" t="s">
        <v>1143</v>
      </c>
    </row>
    <row r="66" spans="1:140">
      <c r="A66" s="287"/>
      <c r="B66" s="288" t="s">
        <v>2721</v>
      </c>
      <c r="C66" s="292" t="s">
        <v>3265</v>
      </c>
      <c r="D66" s="288" t="s">
        <v>2041</v>
      </c>
      <c r="E66" s="293">
        <v>1.7</v>
      </c>
      <c r="F66" s="293" t="s">
        <v>332</v>
      </c>
      <c r="G66" s="293"/>
      <c r="H66" s="291" t="s">
        <v>3548</v>
      </c>
      <c r="I66" s="293"/>
      <c r="J66" s="293"/>
      <c r="K66" s="293"/>
      <c r="R66" s="292" t="s">
        <v>3118</v>
      </c>
      <c r="BH66" s="292" t="s">
        <v>1673</v>
      </c>
      <c r="EJ66" s="292" t="s">
        <v>1159</v>
      </c>
    </row>
    <row r="67" spans="1:140">
      <c r="A67" s="287"/>
      <c r="B67" s="288" t="s">
        <v>2721</v>
      </c>
      <c r="C67" s="292" t="s">
        <v>3264</v>
      </c>
      <c r="D67" s="293">
        <v>11.91</v>
      </c>
      <c r="E67" s="293">
        <v>2</v>
      </c>
      <c r="F67" s="293" t="s">
        <v>332</v>
      </c>
      <c r="G67" s="288"/>
      <c r="H67" s="291" t="s">
        <v>3550</v>
      </c>
      <c r="I67" s="288"/>
      <c r="J67" s="288"/>
      <c r="K67" s="288"/>
      <c r="R67" s="292" t="s">
        <v>546</v>
      </c>
      <c r="BH67" s="292" t="s">
        <v>1674</v>
      </c>
      <c r="EJ67" s="292" t="s">
        <v>1160</v>
      </c>
    </row>
    <row r="68" spans="1:140">
      <c r="A68" s="287"/>
      <c r="B68" s="288" t="s">
        <v>2721</v>
      </c>
      <c r="C68" s="292" t="s">
        <v>369</v>
      </c>
      <c r="D68" s="288" t="s">
        <v>2042</v>
      </c>
      <c r="E68" s="293">
        <v>2.21</v>
      </c>
      <c r="F68" s="293" t="s">
        <v>2410</v>
      </c>
      <c r="G68" s="293"/>
      <c r="H68" s="291" t="s">
        <v>3551</v>
      </c>
      <c r="I68" s="288"/>
      <c r="J68" s="288"/>
      <c r="K68" s="288"/>
      <c r="R68" s="292" t="s">
        <v>3119</v>
      </c>
      <c r="BH68" s="292" t="s">
        <v>1676</v>
      </c>
      <c r="EJ68" s="292" t="s">
        <v>1161</v>
      </c>
    </row>
    <row r="69" spans="1:140">
      <c r="A69" s="287"/>
      <c r="B69" s="288" t="s">
        <v>2721</v>
      </c>
      <c r="C69" s="292" t="s">
        <v>3267</v>
      </c>
      <c r="D69" s="288" t="s">
        <v>2043</v>
      </c>
      <c r="E69" s="293">
        <v>2.0499999999999998</v>
      </c>
      <c r="F69" s="288" t="s">
        <v>2412</v>
      </c>
      <c r="G69" s="288"/>
      <c r="H69" s="291" t="s">
        <v>3552</v>
      </c>
      <c r="I69" s="288"/>
      <c r="J69" s="288"/>
      <c r="K69" s="288"/>
      <c r="R69" s="292" t="s">
        <v>3120</v>
      </c>
      <c r="BH69" s="292" t="s">
        <v>1675</v>
      </c>
      <c r="EJ69" s="292" t="s">
        <v>1162</v>
      </c>
    </row>
    <row r="70" spans="1:140">
      <c r="A70" s="287"/>
      <c r="B70" s="288" t="s">
        <v>2721</v>
      </c>
      <c r="C70" s="292" t="s">
        <v>3266</v>
      </c>
      <c r="D70" s="293">
        <v>11.99</v>
      </c>
      <c r="E70" s="293">
        <v>1.86</v>
      </c>
      <c r="F70" s="293" t="s">
        <v>2412</v>
      </c>
      <c r="G70" s="288"/>
      <c r="H70" s="291" t="s">
        <v>3553</v>
      </c>
      <c r="I70" s="288"/>
      <c r="J70" s="288"/>
      <c r="K70" s="288"/>
      <c r="R70" s="292" t="s">
        <v>785</v>
      </c>
      <c r="BH70" s="292" t="s">
        <v>4126</v>
      </c>
      <c r="EJ70" s="292" t="s">
        <v>1166</v>
      </c>
    </row>
    <row r="71" spans="1:140">
      <c r="A71" s="287"/>
      <c r="B71" s="288" t="s">
        <v>2721</v>
      </c>
      <c r="C71" s="292" t="s">
        <v>370</v>
      </c>
      <c r="D71" s="288" t="s">
        <v>2044</v>
      </c>
      <c r="E71" s="293">
        <v>1.8</v>
      </c>
      <c r="F71" s="293" t="s">
        <v>2442</v>
      </c>
      <c r="G71" s="288"/>
      <c r="H71" s="291" t="s">
        <v>3554</v>
      </c>
      <c r="I71" s="288"/>
      <c r="J71" s="288"/>
      <c r="K71" s="288"/>
      <c r="R71" s="292" t="s">
        <v>3121</v>
      </c>
      <c r="BH71" s="292" t="s">
        <v>4127</v>
      </c>
      <c r="EJ71" s="292" t="s">
        <v>1167</v>
      </c>
    </row>
    <row r="72" spans="1:140">
      <c r="A72" s="287"/>
      <c r="B72" s="288" t="s">
        <v>2721</v>
      </c>
      <c r="C72" s="292" t="s">
        <v>371</v>
      </c>
      <c r="D72" s="293">
        <v>11.99</v>
      </c>
      <c r="E72" s="293">
        <v>1.95</v>
      </c>
      <c r="F72" s="293" t="s">
        <v>366</v>
      </c>
      <c r="G72" s="288"/>
      <c r="H72" s="291" t="s">
        <v>3555</v>
      </c>
      <c r="I72" s="288"/>
      <c r="J72" s="288"/>
      <c r="K72" s="288"/>
      <c r="R72" s="292" t="s">
        <v>3122</v>
      </c>
      <c r="BH72" s="292" t="s">
        <v>4812</v>
      </c>
      <c r="EJ72" s="292" t="s">
        <v>810</v>
      </c>
    </row>
    <row r="73" spans="1:140">
      <c r="A73" s="287"/>
      <c r="B73" s="288" t="s">
        <v>2721</v>
      </c>
      <c r="C73" s="292" t="s">
        <v>1708</v>
      </c>
      <c r="D73" s="288" t="s">
        <v>2043</v>
      </c>
      <c r="E73" s="288" t="s">
        <v>1711</v>
      </c>
      <c r="F73" s="288" t="s">
        <v>337</v>
      </c>
      <c r="G73" s="288"/>
      <c r="H73" s="291" t="s">
        <v>1690</v>
      </c>
      <c r="I73" s="288"/>
      <c r="J73" s="288"/>
      <c r="K73" s="288"/>
      <c r="R73" s="292" t="s">
        <v>547</v>
      </c>
      <c r="BH73" s="292" t="s">
        <v>1677</v>
      </c>
      <c r="EJ73" s="292" t="s">
        <v>1173</v>
      </c>
    </row>
    <row r="74" spans="1:140">
      <c r="A74" s="287"/>
      <c r="B74" s="288" t="s">
        <v>2721</v>
      </c>
      <c r="C74" s="292" t="s">
        <v>372</v>
      </c>
      <c r="D74" s="293">
        <v>12.2</v>
      </c>
      <c r="E74" s="293">
        <v>1.82</v>
      </c>
      <c r="F74" s="293" t="s">
        <v>342</v>
      </c>
      <c r="G74" s="288"/>
      <c r="H74" s="291" t="s">
        <v>3556</v>
      </c>
      <c r="I74" s="288"/>
      <c r="J74" s="288"/>
      <c r="K74" s="288"/>
      <c r="R74" s="292" t="s">
        <v>1246</v>
      </c>
      <c r="BH74" s="292" t="s">
        <v>1678</v>
      </c>
      <c r="EJ74" s="292" t="s">
        <v>532</v>
      </c>
    </row>
    <row r="75" spans="1:140">
      <c r="A75" s="287"/>
      <c r="B75" s="288" t="s">
        <v>2721</v>
      </c>
      <c r="C75" s="292" t="s">
        <v>373</v>
      </c>
      <c r="D75" s="293">
        <v>12.95</v>
      </c>
      <c r="E75" s="293">
        <v>1.95</v>
      </c>
      <c r="F75" s="293" t="s">
        <v>2409</v>
      </c>
      <c r="G75" s="288"/>
      <c r="H75" s="291" t="s">
        <v>3952</v>
      </c>
      <c r="I75" s="288"/>
      <c r="J75" s="288"/>
      <c r="K75" s="288"/>
      <c r="R75" s="292" t="s">
        <v>1247</v>
      </c>
      <c r="BH75" s="292" t="s">
        <v>4128</v>
      </c>
      <c r="EJ75" s="292" t="s">
        <v>1176</v>
      </c>
    </row>
    <row r="76" spans="1:140">
      <c r="A76" s="287"/>
      <c r="B76" s="288" t="s">
        <v>2721</v>
      </c>
      <c r="C76" s="292" t="s">
        <v>374</v>
      </c>
      <c r="D76" s="288" t="s">
        <v>2045</v>
      </c>
      <c r="E76" s="293">
        <v>2.44</v>
      </c>
      <c r="F76" s="293" t="s">
        <v>344</v>
      </c>
      <c r="G76" s="288"/>
      <c r="H76" s="291" t="s">
        <v>3953</v>
      </c>
      <c r="I76" s="288"/>
      <c r="J76" s="288"/>
      <c r="K76" s="288"/>
      <c r="R76" s="292" t="s">
        <v>1248</v>
      </c>
      <c r="BH76" s="292" t="s">
        <v>4129</v>
      </c>
      <c r="EJ76" s="292" t="s">
        <v>1177</v>
      </c>
    </row>
    <row r="77" spans="1:140">
      <c r="A77" s="287"/>
      <c r="B77" s="288" t="s">
        <v>2721</v>
      </c>
      <c r="C77" s="292" t="s">
        <v>3269</v>
      </c>
      <c r="D77" s="293">
        <v>13.6</v>
      </c>
      <c r="E77" s="293">
        <v>1.65</v>
      </c>
      <c r="F77" s="293" t="s">
        <v>2424</v>
      </c>
      <c r="G77" s="288"/>
      <c r="H77" s="291" t="s">
        <v>3955</v>
      </c>
      <c r="I77" s="288"/>
      <c r="J77" s="288"/>
      <c r="K77" s="288"/>
      <c r="R77" s="292" t="s">
        <v>1249</v>
      </c>
      <c r="BH77" s="292" t="s">
        <v>4130</v>
      </c>
      <c r="EJ77" s="292" t="s">
        <v>1178</v>
      </c>
    </row>
    <row r="78" spans="1:140">
      <c r="A78" s="287"/>
      <c r="B78" s="288" t="s">
        <v>2721</v>
      </c>
      <c r="C78" s="292" t="s">
        <v>3268</v>
      </c>
      <c r="D78" s="293">
        <v>13.6</v>
      </c>
      <c r="E78" s="293">
        <v>1.95</v>
      </c>
      <c r="F78" s="293" t="s">
        <v>2424</v>
      </c>
      <c r="G78" s="288"/>
      <c r="H78" s="291" t="s">
        <v>3956</v>
      </c>
      <c r="I78" s="288"/>
      <c r="J78" s="288"/>
      <c r="K78" s="288"/>
      <c r="R78" s="292" t="s">
        <v>551</v>
      </c>
      <c r="BH78" s="292" t="s">
        <v>4131</v>
      </c>
      <c r="EJ78" s="292" t="s">
        <v>1179</v>
      </c>
    </row>
    <row r="79" spans="1:140">
      <c r="A79" s="287"/>
      <c r="B79" s="288" t="s">
        <v>2721</v>
      </c>
      <c r="C79" s="292" t="s">
        <v>375</v>
      </c>
      <c r="D79" s="293">
        <v>13.32</v>
      </c>
      <c r="E79" s="293">
        <v>2.25</v>
      </c>
      <c r="F79" s="293" t="s">
        <v>376</v>
      </c>
      <c r="G79" s="288"/>
      <c r="H79" s="291" t="s">
        <v>3957</v>
      </c>
      <c r="I79" s="288"/>
      <c r="J79" s="288"/>
      <c r="K79" s="288"/>
      <c r="R79" s="292" t="s">
        <v>548</v>
      </c>
      <c r="BH79" s="292" t="s">
        <v>4132</v>
      </c>
      <c r="EJ79" s="292" t="s">
        <v>1199</v>
      </c>
    </row>
    <row r="80" spans="1:140">
      <c r="A80" s="287"/>
      <c r="B80" s="288" t="s">
        <v>2721</v>
      </c>
      <c r="C80" s="292" t="s">
        <v>3270</v>
      </c>
      <c r="D80" s="293">
        <v>13.99</v>
      </c>
      <c r="E80" s="293">
        <v>1.95</v>
      </c>
      <c r="F80" s="293" t="s">
        <v>344</v>
      </c>
      <c r="G80" s="288"/>
      <c r="H80" s="291" t="s">
        <v>3958</v>
      </c>
      <c r="I80" s="288"/>
      <c r="J80" s="288"/>
      <c r="K80" s="288"/>
      <c r="R80" s="292" t="s">
        <v>1250</v>
      </c>
      <c r="BH80" s="292" t="s">
        <v>4133</v>
      </c>
      <c r="EJ80" s="292" t="s">
        <v>4224</v>
      </c>
    </row>
    <row r="81" spans="1:140">
      <c r="A81" s="287"/>
      <c r="B81" s="288" t="s">
        <v>2721</v>
      </c>
      <c r="C81" s="292" t="s">
        <v>3271</v>
      </c>
      <c r="D81" s="293">
        <v>13.99</v>
      </c>
      <c r="E81" s="293">
        <v>2</v>
      </c>
      <c r="F81" s="293" t="s">
        <v>344</v>
      </c>
      <c r="G81" s="288"/>
      <c r="H81" s="291" t="s">
        <v>3959</v>
      </c>
      <c r="I81" s="288"/>
      <c r="J81" s="288"/>
      <c r="K81" s="288"/>
      <c r="R81" s="292" t="s">
        <v>1251</v>
      </c>
      <c r="BH81" s="292" t="s">
        <v>4134</v>
      </c>
      <c r="EJ81" s="292" t="s">
        <v>4225</v>
      </c>
    </row>
    <row r="82" spans="1:140">
      <c r="A82" s="287"/>
      <c r="B82" s="288" t="s">
        <v>2721</v>
      </c>
      <c r="C82" s="292" t="s">
        <v>2046</v>
      </c>
      <c r="D82" s="293">
        <v>13.95</v>
      </c>
      <c r="E82" s="293">
        <v>2</v>
      </c>
      <c r="F82" s="293" t="s">
        <v>366</v>
      </c>
      <c r="G82" s="288"/>
      <c r="H82" s="291" t="s">
        <v>3960</v>
      </c>
      <c r="I82" s="288"/>
      <c r="J82" s="288"/>
      <c r="K82" s="288"/>
      <c r="R82" s="292" t="s">
        <v>1252</v>
      </c>
      <c r="BH82" s="292" t="s">
        <v>4135</v>
      </c>
      <c r="EJ82" s="292" t="s">
        <v>4226</v>
      </c>
    </row>
    <row r="83" spans="1:140">
      <c r="A83" s="287"/>
      <c r="B83" s="288" t="s">
        <v>2721</v>
      </c>
      <c r="C83" s="292" t="s">
        <v>3273</v>
      </c>
      <c r="D83" s="293">
        <v>14.95</v>
      </c>
      <c r="E83" s="293">
        <v>1.8</v>
      </c>
      <c r="F83" s="288" t="s">
        <v>332</v>
      </c>
      <c r="G83" s="288"/>
      <c r="H83" s="291" t="s">
        <v>3961</v>
      </c>
      <c r="I83" s="288"/>
      <c r="J83" s="288"/>
      <c r="K83" s="288"/>
      <c r="R83" s="292" t="s">
        <v>3123</v>
      </c>
      <c r="BH83" s="292" t="s">
        <v>4136</v>
      </c>
      <c r="EJ83" s="292" t="s">
        <v>4228</v>
      </c>
    </row>
    <row r="84" spans="1:140">
      <c r="A84" s="287"/>
      <c r="B84" s="288" t="s">
        <v>2721</v>
      </c>
      <c r="C84" s="292" t="s">
        <v>3272</v>
      </c>
      <c r="D84" s="293">
        <v>14.95</v>
      </c>
      <c r="E84" s="293">
        <v>2.1</v>
      </c>
      <c r="F84" s="288" t="s">
        <v>332</v>
      </c>
      <c r="G84" s="288"/>
      <c r="H84" s="291" t="s">
        <v>3962</v>
      </c>
      <c r="I84" s="288"/>
      <c r="J84" s="288"/>
      <c r="K84" s="288"/>
      <c r="R84" s="292" t="s">
        <v>550</v>
      </c>
      <c r="BH84" s="292" t="s">
        <v>1026</v>
      </c>
      <c r="EJ84" s="292" t="s">
        <v>4229</v>
      </c>
    </row>
    <row r="85" spans="1:140">
      <c r="A85" s="287"/>
      <c r="B85" s="288" t="s">
        <v>2721</v>
      </c>
      <c r="C85" s="292" t="s">
        <v>3274</v>
      </c>
      <c r="D85" s="288" t="s">
        <v>1712</v>
      </c>
      <c r="E85" s="293">
        <v>2</v>
      </c>
      <c r="F85" s="293" t="s">
        <v>366</v>
      </c>
      <c r="G85" s="288"/>
      <c r="H85" s="291" t="s">
        <v>3963</v>
      </c>
      <c r="I85" s="288"/>
      <c r="J85" s="288"/>
      <c r="K85" s="288"/>
      <c r="R85" s="292" t="s">
        <v>3124</v>
      </c>
      <c r="BH85" s="292" t="s">
        <v>60</v>
      </c>
      <c r="EJ85" s="292" t="s">
        <v>4230</v>
      </c>
    </row>
    <row r="86" spans="1:140">
      <c r="A86" s="287"/>
      <c r="B86" s="288" t="s">
        <v>2721</v>
      </c>
      <c r="C86" s="292" t="s">
        <v>377</v>
      </c>
      <c r="D86" s="288" t="s">
        <v>1712</v>
      </c>
      <c r="E86" s="293">
        <v>2.1</v>
      </c>
      <c r="F86" s="293" t="s">
        <v>2412</v>
      </c>
      <c r="G86" s="288"/>
      <c r="H86" s="291" t="s">
        <v>3964</v>
      </c>
      <c r="I86" s="288"/>
      <c r="J86" s="288"/>
      <c r="K86" s="288"/>
      <c r="R86" s="292" t="s">
        <v>3125</v>
      </c>
      <c r="EJ86" s="292" t="s">
        <v>4231</v>
      </c>
    </row>
    <row r="87" spans="1:140">
      <c r="A87" s="287"/>
      <c r="B87" s="288" t="s">
        <v>2721</v>
      </c>
      <c r="C87" s="292" t="s">
        <v>1709</v>
      </c>
      <c r="D87" s="288" t="s">
        <v>1712</v>
      </c>
      <c r="E87" s="288" t="s">
        <v>1713</v>
      </c>
      <c r="F87" s="288" t="s">
        <v>2413</v>
      </c>
      <c r="G87" s="288"/>
      <c r="H87" s="291" t="s">
        <v>3965</v>
      </c>
      <c r="I87" s="288"/>
      <c r="J87" s="288"/>
      <c r="K87" s="288"/>
      <c r="R87" s="292" t="s">
        <v>3126</v>
      </c>
      <c r="EJ87" s="292" t="s">
        <v>811</v>
      </c>
    </row>
    <row r="88" spans="1:140">
      <c r="A88" s="287"/>
      <c r="B88" s="288" t="s">
        <v>2721</v>
      </c>
      <c r="C88" s="292" t="s">
        <v>1710</v>
      </c>
      <c r="D88" s="288" t="s">
        <v>1714</v>
      </c>
      <c r="E88" s="288" t="s">
        <v>1715</v>
      </c>
      <c r="F88" s="288" t="s">
        <v>2411</v>
      </c>
      <c r="G88" s="288"/>
      <c r="H88" s="291" t="s">
        <v>3966</v>
      </c>
      <c r="I88" s="288"/>
      <c r="J88" s="288"/>
      <c r="K88" s="288"/>
      <c r="R88" s="292" t="s">
        <v>3127</v>
      </c>
      <c r="EJ88" s="292" t="s">
        <v>4232</v>
      </c>
    </row>
    <row r="89" spans="1:140">
      <c r="A89" s="287"/>
      <c r="B89" s="288" t="s">
        <v>2721</v>
      </c>
      <c r="C89" s="292" t="s">
        <v>1716</v>
      </c>
      <c r="D89" s="288" t="s">
        <v>1717</v>
      </c>
      <c r="E89" s="288" t="s">
        <v>1718</v>
      </c>
      <c r="F89" s="288" t="s">
        <v>3089</v>
      </c>
      <c r="G89" s="288"/>
      <c r="H89" s="291" t="s">
        <v>3967</v>
      </c>
      <c r="I89" s="293"/>
      <c r="J89" s="293"/>
      <c r="K89" s="293"/>
      <c r="R89" s="292" t="s">
        <v>3128</v>
      </c>
      <c r="EJ89" s="292" t="s">
        <v>4233</v>
      </c>
    </row>
    <row r="90" spans="1:140">
      <c r="A90" s="287"/>
      <c r="B90" s="288" t="s">
        <v>2722</v>
      </c>
      <c r="C90" s="292" t="s">
        <v>788</v>
      </c>
      <c r="D90" s="293">
        <v>7.53</v>
      </c>
      <c r="E90" s="293">
        <v>1.58</v>
      </c>
      <c r="F90" s="288" t="s">
        <v>2404</v>
      </c>
      <c r="G90" s="288"/>
      <c r="H90" s="291" t="s">
        <v>2298</v>
      </c>
      <c r="I90" s="293"/>
      <c r="J90" s="293"/>
      <c r="K90" s="293"/>
      <c r="R90" s="292" t="s">
        <v>3129</v>
      </c>
      <c r="EJ90" s="292" t="s">
        <v>4234</v>
      </c>
    </row>
    <row r="91" spans="1:140">
      <c r="A91" s="287"/>
      <c r="B91" s="288" t="s">
        <v>2722</v>
      </c>
      <c r="C91" s="292" t="s">
        <v>378</v>
      </c>
      <c r="D91" s="293">
        <v>14.98</v>
      </c>
      <c r="E91" s="293">
        <v>1.8</v>
      </c>
      <c r="F91" s="293" t="s">
        <v>342</v>
      </c>
      <c r="G91" s="293"/>
      <c r="H91" s="291" t="s">
        <v>3968</v>
      </c>
      <c r="I91" s="288"/>
      <c r="J91" s="288"/>
      <c r="K91" s="288"/>
      <c r="R91" s="292" t="s">
        <v>1253</v>
      </c>
      <c r="EJ91" s="292" t="s">
        <v>4235</v>
      </c>
    </row>
    <row r="92" spans="1:140">
      <c r="A92" s="287" t="s">
        <v>2407</v>
      </c>
      <c r="B92" s="288" t="s">
        <v>2722</v>
      </c>
      <c r="C92" s="292" t="s">
        <v>1419</v>
      </c>
      <c r="D92" s="293">
        <v>14.98</v>
      </c>
      <c r="E92" s="293">
        <v>1.8</v>
      </c>
      <c r="F92" s="293" t="s">
        <v>342</v>
      </c>
      <c r="G92" s="293"/>
      <c r="H92" s="291" t="s">
        <v>3969</v>
      </c>
      <c r="I92" s="288"/>
      <c r="J92" s="288"/>
      <c r="K92" s="288"/>
      <c r="R92" s="292" t="s">
        <v>1254</v>
      </c>
      <c r="EJ92" s="292" t="s">
        <v>812</v>
      </c>
    </row>
    <row r="93" spans="1:140">
      <c r="A93" s="287"/>
      <c r="B93" s="288" t="s">
        <v>2722</v>
      </c>
      <c r="C93" s="292" t="s">
        <v>1418</v>
      </c>
      <c r="D93" s="293">
        <v>14.93</v>
      </c>
      <c r="E93" s="293">
        <v>3.05</v>
      </c>
      <c r="F93" s="293" t="s">
        <v>342</v>
      </c>
      <c r="G93" s="288"/>
      <c r="H93" s="291" t="s">
        <v>3970</v>
      </c>
      <c r="I93" s="288"/>
      <c r="J93" s="288"/>
      <c r="K93" s="288"/>
      <c r="R93" s="292" t="s">
        <v>4216</v>
      </c>
      <c r="EJ93" s="292" t="s">
        <v>4238</v>
      </c>
    </row>
    <row r="94" spans="1:140">
      <c r="A94" s="287"/>
      <c r="B94" s="288" t="s">
        <v>2722</v>
      </c>
      <c r="C94" s="292" t="s">
        <v>379</v>
      </c>
      <c r="D94" s="293">
        <v>14.98</v>
      </c>
      <c r="E94" s="293">
        <v>2.2999999999999998</v>
      </c>
      <c r="F94" s="293" t="s">
        <v>342</v>
      </c>
      <c r="G94" s="288"/>
      <c r="H94" s="291" t="s">
        <v>3971</v>
      </c>
      <c r="I94" s="288"/>
      <c r="J94" s="288"/>
      <c r="K94" s="288"/>
      <c r="R94" s="292" t="s">
        <v>4217</v>
      </c>
      <c r="EJ94" s="292" t="s">
        <v>4248</v>
      </c>
    </row>
    <row r="95" spans="1:140">
      <c r="A95" s="287"/>
      <c r="B95" s="288" t="s">
        <v>2722</v>
      </c>
      <c r="C95" s="292" t="s">
        <v>1420</v>
      </c>
      <c r="D95" s="293">
        <v>17.2</v>
      </c>
      <c r="E95" s="293">
        <v>2.6</v>
      </c>
      <c r="F95" s="293" t="s">
        <v>2410</v>
      </c>
      <c r="G95" s="288"/>
      <c r="H95" s="291" t="s">
        <v>4040</v>
      </c>
      <c r="I95" s="288"/>
      <c r="J95" s="288"/>
      <c r="K95" s="288"/>
      <c r="R95" s="292" t="s">
        <v>4218</v>
      </c>
      <c r="EJ95" s="292" t="s">
        <v>4253</v>
      </c>
    </row>
    <row r="96" spans="1:140">
      <c r="A96" s="287"/>
      <c r="B96" s="288" t="s">
        <v>2722</v>
      </c>
      <c r="C96" s="292" t="s">
        <v>3049</v>
      </c>
      <c r="D96" s="293">
        <v>11.71</v>
      </c>
      <c r="E96" s="293">
        <v>1.9</v>
      </c>
      <c r="F96" s="288" t="s">
        <v>2413</v>
      </c>
      <c r="G96" s="288"/>
      <c r="H96" s="291" t="s">
        <v>3973</v>
      </c>
      <c r="I96" s="288"/>
      <c r="J96" s="288"/>
      <c r="K96" s="288"/>
      <c r="R96" s="292" t="s">
        <v>4219</v>
      </c>
      <c r="EJ96" s="292" t="s">
        <v>4258</v>
      </c>
    </row>
    <row r="97" spans="1:140">
      <c r="A97" s="287"/>
      <c r="B97" s="288" t="s">
        <v>2722</v>
      </c>
      <c r="C97" s="292" t="s">
        <v>3050</v>
      </c>
      <c r="D97" s="293">
        <v>12.94</v>
      </c>
      <c r="E97" s="293">
        <v>1.9</v>
      </c>
      <c r="F97" s="288" t="s">
        <v>2427</v>
      </c>
      <c r="G97" s="288"/>
      <c r="H97" s="291" t="s">
        <v>3974</v>
      </c>
      <c r="I97" s="293"/>
      <c r="J97" s="293"/>
      <c r="K97" s="293"/>
      <c r="R97" s="292" t="s">
        <v>4220</v>
      </c>
      <c r="EJ97" s="292" t="s">
        <v>4259</v>
      </c>
    </row>
    <row r="98" spans="1:140">
      <c r="A98" s="287"/>
      <c r="B98" s="288" t="s">
        <v>2722</v>
      </c>
      <c r="C98" s="292" t="s">
        <v>1216</v>
      </c>
      <c r="D98" s="293">
        <v>6.25</v>
      </c>
      <c r="E98" s="293">
        <v>1.8</v>
      </c>
      <c r="F98" s="293" t="s">
        <v>2412</v>
      </c>
      <c r="G98" s="288"/>
      <c r="H98" s="291" t="s">
        <v>3975</v>
      </c>
      <c r="I98" s="293"/>
      <c r="J98" s="293"/>
      <c r="K98" s="293"/>
      <c r="R98" s="292" t="s">
        <v>4221</v>
      </c>
      <c r="EJ98" s="292" t="s">
        <v>4260</v>
      </c>
    </row>
    <row r="99" spans="1:140">
      <c r="A99" s="287"/>
      <c r="B99" s="288" t="s">
        <v>2722</v>
      </c>
      <c r="C99" s="292" t="s">
        <v>1217</v>
      </c>
      <c r="D99" s="293">
        <v>6.2</v>
      </c>
      <c r="E99" s="288" t="s">
        <v>327</v>
      </c>
      <c r="F99" s="293" t="s">
        <v>3647</v>
      </c>
      <c r="G99" s="293"/>
      <c r="H99" s="291" t="s">
        <v>4041</v>
      </c>
      <c r="I99" s="293"/>
      <c r="J99" s="293"/>
      <c r="K99" s="293"/>
      <c r="R99" s="292" t="s">
        <v>538</v>
      </c>
      <c r="EJ99" s="292" t="s">
        <v>4143</v>
      </c>
    </row>
    <row r="100" spans="1:140">
      <c r="A100" s="287"/>
      <c r="B100" s="288" t="s">
        <v>2722</v>
      </c>
      <c r="C100" s="292" t="s">
        <v>1218</v>
      </c>
      <c r="D100" s="293">
        <v>6.2</v>
      </c>
      <c r="E100" s="293">
        <v>1.8</v>
      </c>
      <c r="F100" s="293" t="s">
        <v>3647</v>
      </c>
      <c r="G100" s="293"/>
      <c r="H100" s="291" t="s">
        <v>739</v>
      </c>
      <c r="I100" s="288"/>
      <c r="J100" s="288"/>
      <c r="K100" s="288"/>
      <c r="R100" s="292" t="s">
        <v>539</v>
      </c>
      <c r="EJ100" s="292" t="s">
        <v>554</v>
      </c>
    </row>
    <row r="101" spans="1:140">
      <c r="A101" s="287"/>
      <c r="B101" s="288" t="s">
        <v>2722</v>
      </c>
      <c r="C101" s="292" t="s">
        <v>1219</v>
      </c>
      <c r="D101" s="293">
        <v>6.25</v>
      </c>
      <c r="E101" s="288" t="s">
        <v>327</v>
      </c>
      <c r="F101" s="293" t="s">
        <v>328</v>
      </c>
      <c r="G101" s="293"/>
      <c r="H101" s="291" t="s">
        <v>738</v>
      </c>
      <c r="I101" s="293"/>
      <c r="J101" s="293"/>
      <c r="K101" s="293"/>
      <c r="R101" s="292" t="s">
        <v>4222</v>
      </c>
      <c r="EJ101" s="292" t="s">
        <v>4144</v>
      </c>
    </row>
    <row r="102" spans="1:140">
      <c r="A102" s="287"/>
      <c r="B102" s="288" t="s">
        <v>2722</v>
      </c>
      <c r="C102" s="292" t="s">
        <v>1220</v>
      </c>
      <c r="D102" s="293">
        <v>7.5</v>
      </c>
      <c r="E102" s="293">
        <v>1.31</v>
      </c>
      <c r="F102" s="293" t="s">
        <v>2435</v>
      </c>
      <c r="G102" s="288"/>
      <c r="H102" s="291" t="s">
        <v>740</v>
      </c>
      <c r="I102" s="293"/>
      <c r="J102" s="293"/>
      <c r="K102" s="293"/>
      <c r="R102" s="292" t="s">
        <v>4223</v>
      </c>
      <c r="EJ102" s="292" t="s">
        <v>2135</v>
      </c>
    </row>
    <row r="103" spans="1:140">
      <c r="A103" s="287"/>
      <c r="B103" s="288" t="s">
        <v>2722</v>
      </c>
      <c r="C103" s="292" t="s">
        <v>1221</v>
      </c>
      <c r="D103" s="293">
        <v>7.5</v>
      </c>
      <c r="E103" s="288" t="s">
        <v>327</v>
      </c>
      <c r="F103" s="293" t="s">
        <v>2435</v>
      </c>
      <c r="G103" s="293"/>
      <c r="H103" s="291" t="s">
        <v>741</v>
      </c>
      <c r="I103" s="288"/>
      <c r="J103" s="288"/>
      <c r="K103" s="288"/>
      <c r="R103" s="292" t="s">
        <v>454</v>
      </c>
      <c r="EJ103" s="292" t="s">
        <v>4145</v>
      </c>
    </row>
    <row r="104" spans="1:140">
      <c r="A104" s="287"/>
      <c r="B104" s="288" t="s">
        <v>2722</v>
      </c>
      <c r="C104" s="292" t="s">
        <v>1222</v>
      </c>
      <c r="D104" s="293">
        <v>7.5</v>
      </c>
      <c r="E104" s="288" t="s">
        <v>327</v>
      </c>
      <c r="F104" s="293" t="s">
        <v>2412</v>
      </c>
      <c r="G104" s="293"/>
      <c r="H104" s="291" t="s">
        <v>742</v>
      </c>
      <c r="I104" s="288"/>
      <c r="J104" s="288"/>
      <c r="K104" s="288"/>
      <c r="R104" s="292" t="s">
        <v>2623</v>
      </c>
      <c r="EJ104" s="292" t="s">
        <v>4146</v>
      </c>
    </row>
    <row r="105" spans="1:140">
      <c r="A105" s="287"/>
      <c r="B105" s="288" t="s">
        <v>2722</v>
      </c>
      <c r="C105" s="292" t="s">
        <v>1223</v>
      </c>
      <c r="D105" s="293">
        <v>7.7</v>
      </c>
      <c r="E105" s="293">
        <v>1.32</v>
      </c>
      <c r="F105" s="293" t="s">
        <v>328</v>
      </c>
      <c r="G105" s="288"/>
      <c r="H105" s="291" t="s">
        <v>743</v>
      </c>
      <c r="I105" s="288"/>
      <c r="J105" s="288"/>
      <c r="K105" s="288"/>
      <c r="R105" s="292" t="s">
        <v>2624</v>
      </c>
      <c r="EJ105" s="292" t="s">
        <v>4147</v>
      </c>
    </row>
    <row r="106" spans="1:140">
      <c r="A106" s="287"/>
      <c r="B106" s="288" t="s">
        <v>2722</v>
      </c>
      <c r="C106" s="292" t="s">
        <v>1224</v>
      </c>
      <c r="D106" s="293">
        <v>7.7</v>
      </c>
      <c r="E106" s="288" t="s">
        <v>327</v>
      </c>
      <c r="F106" s="293" t="s">
        <v>328</v>
      </c>
      <c r="G106" s="288"/>
      <c r="H106" s="291" t="s">
        <v>744</v>
      </c>
      <c r="I106" s="288"/>
      <c r="J106" s="288"/>
      <c r="K106" s="288"/>
      <c r="R106" s="292" t="s">
        <v>2625</v>
      </c>
      <c r="EJ106" s="292" t="s">
        <v>4148</v>
      </c>
    </row>
    <row r="107" spans="1:140">
      <c r="A107" s="287"/>
      <c r="B107" s="288" t="s">
        <v>2722</v>
      </c>
      <c r="C107" s="292" t="s">
        <v>1225</v>
      </c>
      <c r="D107" s="293">
        <v>7.5</v>
      </c>
      <c r="E107" s="293">
        <v>1.45</v>
      </c>
      <c r="F107" s="293" t="s">
        <v>342</v>
      </c>
      <c r="G107" s="288"/>
      <c r="H107" s="291" t="s">
        <v>745</v>
      </c>
      <c r="I107" s="293"/>
      <c r="J107" s="293"/>
      <c r="K107" s="293"/>
      <c r="R107" s="292" t="s">
        <v>2626</v>
      </c>
      <c r="EJ107" s="292" t="s">
        <v>4149</v>
      </c>
    </row>
    <row r="108" spans="1:140">
      <c r="A108" s="287"/>
      <c r="B108" s="288" t="s">
        <v>2722</v>
      </c>
      <c r="C108" s="292" t="s">
        <v>1226</v>
      </c>
      <c r="D108" s="293">
        <v>7.5</v>
      </c>
      <c r="E108" s="293">
        <v>1.85</v>
      </c>
      <c r="F108" s="293" t="s">
        <v>342</v>
      </c>
      <c r="G108" s="288"/>
      <c r="H108" s="291" t="s">
        <v>746</v>
      </c>
      <c r="I108" s="293"/>
      <c r="J108" s="293"/>
      <c r="K108" s="293"/>
      <c r="R108" s="292" t="s">
        <v>2627</v>
      </c>
      <c r="EJ108" s="292" t="s">
        <v>4167</v>
      </c>
    </row>
    <row r="109" spans="1:140">
      <c r="A109" s="287"/>
      <c r="B109" s="288" t="s">
        <v>2722</v>
      </c>
      <c r="C109" s="292" t="s">
        <v>1227</v>
      </c>
      <c r="D109" s="293">
        <v>7.5</v>
      </c>
      <c r="E109" s="288" t="s">
        <v>327</v>
      </c>
      <c r="F109" s="293" t="s">
        <v>342</v>
      </c>
      <c r="G109" s="293"/>
      <c r="H109" s="291" t="s">
        <v>747</v>
      </c>
      <c r="I109" s="288"/>
      <c r="J109" s="288"/>
      <c r="K109" s="288"/>
      <c r="R109" s="292" t="s">
        <v>3131</v>
      </c>
      <c r="EJ109" s="292" t="s">
        <v>4168</v>
      </c>
    </row>
    <row r="110" spans="1:140">
      <c r="A110" s="287"/>
      <c r="B110" s="288" t="s">
        <v>2722</v>
      </c>
      <c r="C110" s="292" t="s">
        <v>1228</v>
      </c>
      <c r="D110" s="293">
        <v>8.3000000000000007</v>
      </c>
      <c r="E110" s="288" t="s">
        <v>327</v>
      </c>
      <c r="F110" s="293" t="s">
        <v>332</v>
      </c>
      <c r="G110" s="293"/>
      <c r="H110" s="291" t="s">
        <v>476</v>
      </c>
      <c r="I110" s="288"/>
      <c r="J110" s="288"/>
      <c r="K110" s="288"/>
      <c r="R110" s="292" t="s">
        <v>3130</v>
      </c>
      <c r="EJ110" s="292" t="s">
        <v>4171</v>
      </c>
    </row>
    <row r="111" spans="1:140">
      <c r="A111" s="287"/>
      <c r="B111" s="288" t="s">
        <v>2722</v>
      </c>
      <c r="C111" s="292" t="s">
        <v>1229</v>
      </c>
      <c r="D111" s="293">
        <v>8.3000000000000007</v>
      </c>
      <c r="E111" s="293">
        <v>1.8</v>
      </c>
      <c r="F111" s="293" t="s">
        <v>332</v>
      </c>
      <c r="G111" s="288"/>
      <c r="H111" s="291" t="s">
        <v>748</v>
      </c>
      <c r="I111" s="293"/>
      <c r="J111" s="293"/>
      <c r="K111" s="293"/>
      <c r="R111" s="292" t="s">
        <v>2628</v>
      </c>
      <c r="EJ111" s="292" t="s">
        <v>4172</v>
      </c>
    </row>
    <row r="112" spans="1:140">
      <c r="A112" s="287"/>
      <c r="B112" s="288" t="s">
        <v>2722</v>
      </c>
      <c r="C112" s="292" t="s">
        <v>1230</v>
      </c>
      <c r="D112" s="293">
        <v>8.6</v>
      </c>
      <c r="E112" s="293">
        <v>1.72</v>
      </c>
      <c r="F112" s="293" t="s">
        <v>2435</v>
      </c>
      <c r="G112" s="288"/>
      <c r="H112" s="291" t="s">
        <v>749</v>
      </c>
      <c r="I112" s="293"/>
      <c r="J112" s="293"/>
      <c r="K112" s="293"/>
      <c r="R112" s="292" t="s">
        <v>2629</v>
      </c>
      <c r="EJ112" s="292" t="s">
        <v>4338</v>
      </c>
    </row>
    <row r="113" spans="1:140">
      <c r="A113" s="287"/>
      <c r="B113" s="288" t="s">
        <v>2722</v>
      </c>
      <c r="C113" s="292" t="s">
        <v>1231</v>
      </c>
      <c r="D113" s="293">
        <v>8.42</v>
      </c>
      <c r="E113" s="293">
        <v>1.6</v>
      </c>
      <c r="F113" s="293" t="s">
        <v>3069</v>
      </c>
      <c r="G113" s="293"/>
      <c r="H113" s="291" t="s">
        <v>752</v>
      </c>
      <c r="I113" s="288"/>
      <c r="J113" s="288"/>
      <c r="K113" s="288"/>
      <c r="R113" s="292" t="s">
        <v>2630</v>
      </c>
      <c r="EJ113" s="292" t="s">
        <v>557</v>
      </c>
    </row>
    <row r="114" spans="1:140">
      <c r="A114" s="287"/>
      <c r="B114" s="288" t="s">
        <v>2722</v>
      </c>
      <c r="C114" s="292" t="s">
        <v>1232</v>
      </c>
      <c r="D114" s="293">
        <v>8.42</v>
      </c>
      <c r="E114" s="293">
        <v>1.2</v>
      </c>
      <c r="F114" s="293" t="s">
        <v>3069</v>
      </c>
      <c r="G114" s="293"/>
      <c r="H114" s="291" t="s">
        <v>751</v>
      </c>
      <c r="I114" s="293"/>
      <c r="J114" s="293"/>
      <c r="K114" s="293"/>
      <c r="R114" s="292" t="s">
        <v>2631</v>
      </c>
      <c r="EJ114" s="292" t="s">
        <v>4340</v>
      </c>
    </row>
    <row r="115" spans="1:140">
      <c r="A115" s="287"/>
      <c r="B115" s="288" t="s">
        <v>2722</v>
      </c>
      <c r="C115" s="292" t="s">
        <v>1421</v>
      </c>
      <c r="D115" s="288" t="s">
        <v>545</v>
      </c>
      <c r="E115" s="293">
        <v>1.4</v>
      </c>
      <c r="F115" s="293" t="s">
        <v>328</v>
      </c>
      <c r="G115" s="288"/>
      <c r="H115" s="291" t="s">
        <v>753</v>
      </c>
      <c r="I115" s="293"/>
      <c r="J115" s="293"/>
      <c r="K115" s="293"/>
      <c r="R115" s="292" t="s">
        <v>3133</v>
      </c>
      <c r="EJ115" s="292" t="s">
        <v>4345</v>
      </c>
    </row>
    <row r="116" spans="1:140">
      <c r="A116" s="287"/>
      <c r="B116" s="288" t="s">
        <v>2722</v>
      </c>
      <c r="C116" s="292" t="s">
        <v>543</v>
      </c>
      <c r="D116" s="288" t="s">
        <v>545</v>
      </c>
      <c r="E116" s="288" t="s">
        <v>544</v>
      </c>
      <c r="F116" s="293" t="s">
        <v>328</v>
      </c>
      <c r="G116" s="293"/>
      <c r="H116" s="291" t="s">
        <v>754</v>
      </c>
      <c r="I116" s="288"/>
      <c r="J116" s="288"/>
      <c r="K116" s="288"/>
      <c r="R116" s="292" t="s">
        <v>3132</v>
      </c>
      <c r="EJ116" s="292" t="s">
        <v>4349</v>
      </c>
    </row>
    <row r="117" spans="1:140">
      <c r="A117" s="287"/>
      <c r="B117" s="288" t="s">
        <v>2722</v>
      </c>
      <c r="C117" s="292" t="s">
        <v>1233</v>
      </c>
      <c r="D117" s="293">
        <v>9.4600000000000009</v>
      </c>
      <c r="E117" s="293">
        <v>1.92</v>
      </c>
      <c r="F117" s="288" t="s">
        <v>337</v>
      </c>
      <c r="G117" s="293"/>
      <c r="H117" s="291" t="s">
        <v>2962</v>
      </c>
      <c r="I117" s="293"/>
      <c r="J117" s="293"/>
      <c r="K117" s="293"/>
      <c r="R117" s="292" t="s">
        <v>2632</v>
      </c>
      <c r="EJ117" s="292" t="s">
        <v>4350</v>
      </c>
    </row>
    <row r="118" spans="1:140">
      <c r="A118" s="287"/>
      <c r="B118" s="288" t="s">
        <v>2722</v>
      </c>
      <c r="C118" s="292" t="s">
        <v>537</v>
      </c>
      <c r="D118" s="288" t="s">
        <v>535</v>
      </c>
      <c r="E118" s="288" t="s">
        <v>536</v>
      </c>
      <c r="F118" s="288" t="s">
        <v>1154</v>
      </c>
      <c r="G118" s="288"/>
      <c r="H118" s="291" t="s">
        <v>755</v>
      </c>
      <c r="I118" s="293"/>
      <c r="J118" s="293"/>
      <c r="K118" s="293"/>
      <c r="R118" s="292" t="s">
        <v>2633</v>
      </c>
      <c r="EJ118" s="292" t="s">
        <v>4351</v>
      </c>
    </row>
    <row r="119" spans="1:140">
      <c r="A119" s="287"/>
      <c r="B119" s="288" t="s">
        <v>2722</v>
      </c>
      <c r="C119" s="292" t="s">
        <v>1234</v>
      </c>
      <c r="D119" s="293">
        <v>8.98</v>
      </c>
      <c r="E119" s="293">
        <v>1.82</v>
      </c>
      <c r="F119" s="293" t="s">
        <v>2406</v>
      </c>
      <c r="G119" s="293"/>
      <c r="H119" s="291" t="s">
        <v>756</v>
      </c>
      <c r="I119" s="293"/>
      <c r="J119" s="293"/>
      <c r="K119" s="293"/>
      <c r="R119" s="292" t="s">
        <v>3134</v>
      </c>
      <c r="EJ119" s="292" t="s">
        <v>4801</v>
      </c>
    </row>
    <row r="120" spans="1:140">
      <c r="A120" s="287"/>
      <c r="B120" s="288" t="s">
        <v>2722</v>
      </c>
      <c r="C120" s="292" t="s">
        <v>1235</v>
      </c>
      <c r="D120" s="293">
        <v>9.35</v>
      </c>
      <c r="E120" s="293">
        <v>1.75</v>
      </c>
      <c r="F120" s="293" t="s">
        <v>355</v>
      </c>
      <c r="G120" s="293"/>
      <c r="H120" s="291" t="s">
        <v>1439</v>
      </c>
      <c r="I120" s="293"/>
      <c r="J120" s="293"/>
      <c r="K120" s="293"/>
      <c r="R120" s="292" t="s">
        <v>3135</v>
      </c>
      <c r="EJ120" s="292" t="s">
        <v>4352</v>
      </c>
    </row>
    <row r="121" spans="1:140">
      <c r="A121" s="287"/>
      <c r="B121" s="288" t="s">
        <v>2722</v>
      </c>
      <c r="C121" s="292" t="s">
        <v>1236</v>
      </c>
      <c r="D121" s="288" t="s">
        <v>2100</v>
      </c>
      <c r="E121" s="293">
        <v>1.7</v>
      </c>
      <c r="F121" s="293" t="s">
        <v>3616</v>
      </c>
      <c r="G121" s="293"/>
      <c r="H121" s="291" t="s">
        <v>758</v>
      </c>
      <c r="I121" s="293"/>
      <c r="J121" s="293"/>
      <c r="K121" s="293"/>
      <c r="R121" s="292" t="s">
        <v>2634</v>
      </c>
      <c r="EJ121" s="292" t="s">
        <v>4353</v>
      </c>
    </row>
    <row r="122" spans="1:140">
      <c r="A122" s="287"/>
      <c r="B122" s="288" t="s">
        <v>2722</v>
      </c>
      <c r="C122" s="292" t="s">
        <v>1237</v>
      </c>
      <c r="D122" s="293">
        <v>9.48</v>
      </c>
      <c r="E122" s="293">
        <v>1.9</v>
      </c>
      <c r="F122" s="293" t="s">
        <v>2409</v>
      </c>
      <c r="G122" s="293"/>
      <c r="H122" s="291" t="s">
        <v>1440</v>
      </c>
      <c r="I122" s="288"/>
      <c r="J122" s="288"/>
      <c r="K122" s="288"/>
      <c r="R122" s="292" t="s">
        <v>457</v>
      </c>
      <c r="EJ122" s="292" t="s">
        <v>3460</v>
      </c>
    </row>
    <row r="123" spans="1:140">
      <c r="A123" s="287"/>
      <c r="B123" s="288" t="s">
        <v>2722</v>
      </c>
      <c r="C123" s="292" t="s">
        <v>1238</v>
      </c>
      <c r="D123" s="293">
        <v>9.48</v>
      </c>
      <c r="E123" s="293">
        <v>1.91</v>
      </c>
      <c r="F123" s="293" t="s">
        <v>2409</v>
      </c>
      <c r="G123" s="293"/>
      <c r="H123" s="291" t="s">
        <v>761</v>
      </c>
      <c r="I123" s="288"/>
      <c r="J123" s="288"/>
      <c r="K123" s="288"/>
      <c r="R123" s="292" t="s">
        <v>456</v>
      </c>
      <c r="EJ123" s="292" t="s">
        <v>3463</v>
      </c>
    </row>
    <row r="124" spans="1:140">
      <c r="A124" s="287"/>
      <c r="B124" s="288" t="s">
        <v>2722</v>
      </c>
      <c r="C124" s="292" t="s">
        <v>1422</v>
      </c>
      <c r="D124" s="288" t="s">
        <v>2101</v>
      </c>
      <c r="E124" s="293">
        <v>1.3</v>
      </c>
      <c r="F124" s="293" t="s">
        <v>2442</v>
      </c>
      <c r="G124" s="288"/>
      <c r="H124" s="291" t="s">
        <v>762</v>
      </c>
      <c r="I124" s="288"/>
      <c r="J124" s="288"/>
      <c r="K124" s="288"/>
      <c r="R124" s="292" t="s">
        <v>2635</v>
      </c>
      <c r="EJ124" s="292" t="s">
        <v>3467</v>
      </c>
    </row>
    <row r="125" spans="1:140">
      <c r="A125" s="287"/>
      <c r="B125" s="288" t="s">
        <v>2722</v>
      </c>
      <c r="C125" s="292" t="s">
        <v>1423</v>
      </c>
      <c r="D125" s="288" t="s">
        <v>2101</v>
      </c>
      <c r="E125" s="293">
        <v>1.8</v>
      </c>
      <c r="F125" s="293" t="s">
        <v>2405</v>
      </c>
      <c r="G125" s="288"/>
      <c r="H125" s="291" t="s">
        <v>759</v>
      </c>
      <c r="I125" s="288"/>
      <c r="J125" s="288"/>
      <c r="K125" s="288"/>
      <c r="R125" s="292" t="s">
        <v>2636</v>
      </c>
      <c r="EJ125" s="292" t="s">
        <v>3478</v>
      </c>
    </row>
    <row r="126" spans="1:140">
      <c r="A126" s="287"/>
      <c r="B126" s="288" t="s">
        <v>2722</v>
      </c>
      <c r="C126" s="292" t="s">
        <v>1239</v>
      </c>
      <c r="D126" s="288" t="s">
        <v>2048</v>
      </c>
      <c r="E126" s="293">
        <v>1.82</v>
      </c>
      <c r="F126" s="293" t="s">
        <v>349</v>
      </c>
      <c r="G126" s="288"/>
      <c r="H126" s="291" t="s">
        <v>763</v>
      </c>
      <c r="I126" s="288"/>
      <c r="J126" s="288"/>
      <c r="K126" s="288"/>
      <c r="R126" s="292" t="s">
        <v>458</v>
      </c>
      <c r="EJ126" s="292" t="s">
        <v>3479</v>
      </c>
    </row>
    <row r="127" spans="1:140">
      <c r="A127" s="287"/>
      <c r="B127" s="288" t="s">
        <v>2722</v>
      </c>
      <c r="C127" s="292" t="s">
        <v>1240</v>
      </c>
      <c r="D127" s="293">
        <v>9.8000000000000007</v>
      </c>
      <c r="E127" s="293">
        <v>1.85</v>
      </c>
      <c r="F127" s="293" t="s">
        <v>355</v>
      </c>
      <c r="G127" s="288"/>
      <c r="H127" s="291" t="s">
        <v>764</v>
      </c>
      <c r="I127" s="288"/>
      <c r="J127" s="288"/>
      <c r="K127" s="288"/>
      <c r="R127" s="292" t="s">
        <v>461</v>
      </c>
      <c r="EJ127" s="292" t="s">
        <v>3480</v>
      </c>
    </row>
    <row r="128" spans="1:140">
      <c r="A128" s="287"/>
      <c r="B128" s="288" t="s">
        <v>2722</v>
      </c>
      <c r="C128" s="292" t="s">
        <v>1424</v>
      </c>
      <c r="D128" s="288" t="s">
        <v>2102</v>
      </c>
      <c r="E128" s="293">
        <v>1.7</v>
      </c>
      <c r="F128" s="293" t="s">
        <v>352</v>
      </c>
      <c r="G128" s="288"/>
      <c r="H128" s="291" t="s">
        <v>765</v>
      </c>
      <c r="I128" s="293"/>
      <c r="J128" s="293"/>
      <c r="K128" s="293"/>
      <c r="R128" s="292" t="s">
        <v>460</v>
      </c>
      <c r="EJ128" s="292" t="s">
        <v>3481</v>
      </c>
    </row>
    <row r="129" spans="1:140">
      <c r="A129" s="287"/>
      <c r="B129" s="288" t="s">
        <v>2722</v>
      </c>
      <c r="C129" s="292" t="s">
        <v>1425</v>
      </c>
      <c r="D129" s="288" t="s">
        <v>2102</v>
      </c>
      <c r="E129" s="293">
        <v>1.8</v>
      </c>
      <c r="F129" s="293" t="s">
        <v>352</v>
      </c>
      <c r="G129" s="288"/>
      <c r="H129" s="291" t="s">
        <v>766</v>
      </c>
      <c r="I129" s="288"/>
      <c r="J129" s="288"/>
      <c r="K129" s="288"/>
      <c r="R129" s="292" t="s">
        <v>3137</v>
      </c>
      <c r="EJ129" s="292" t="s">
        <v>3482</v>
      </c>
    </row>
    <row r="130" spans="1:140">
      <c r="A130" s="287"/>
      <c r="B130" s="288" t="s">
        <v>2722</v>
      </c>
      <c r="C130" s="292" t="s">
        <v>1241</v>
      </c>
      <c r="D130" s="288" t="s">
        <v>2102</v>
      </c>
      <c r="E130" s="293">
        <v>1.35</v>
      </c>
      <c r="F130" s="293" t="s">
        <v>352</v>
      </c>
      <c r="G130" s="293"/>
      <c r="H130" s="291" t="s">
        <v>2741</v>
      </c>
      <c r="I130" s="288"/>
      <c r="J130" s="288"/>
      <c r="K130" s="288"/>
      <c r="R130" s="292" t="s">
        <v>3136</v>
      </c>
      <c r="EJ130" s="292" t="s">
        <v>3483</v>
      </c>
    </row>
    <row r="131" spans="1:140">
      <c r="A131" s="287"/>
      <c r="B131" s="288" t="s">
        <v>2722</v>
      </c>
      <c r="C131" s="292" t="s">
        <v>542</v>
      </c>
      <c r="D131" s="293">
        <v>9.69</v>
      </c>
      <c r="E131" s="288" t="s">
        <v>433</v>
      </c>
      <c r="F131" s="293" t="s">
        <v>2404</v>
      </c>
      <c r="G131" s="288"/>
      <c r="H131" s="291" t="s">
        <v>1463</v>
      </c>
      <c r="I131" s="293"/>
      <c r="J131" s="293"/>
      <c r="K131" s="293"/>
      <c r="R131" s="292" t="s">
        <v>2637</v>
      </c>
      <c r="EJ131" s="292" t="s">
        <v>618</v>
      </c>
    </row>
    <row r="132" spans="1:140">
      <c r="A132" s="287"/>
      <c r="B132" s="288" t="s">
        <v>2722</v>
      </c>
      <c r="C132" s="292" t="s">
        <v>1426</v>
      </c>
      <c r="D132" s="293">
        <v>9.69</v>
      </c>
      <c r="E132" s="293">
        <v>1.9</v>
      </c>
      <c r="F132" s="293" t="s">
        <v>2404</v>
      </c>
      <c r="G132" s="288"/>
      <c r="H132" s="291" t="s">
        <v>767</v>
      </c>
      <c r="I132" s="288"/>
      <c r="J132" s="288"/>
      <c r="K132" s="288"/>
      <c r="R132" s="292" t="s">
        <v>2638</v>
      </c>
      <c r="EJ132" s="292" t="s">
        <v>3139</v>
      </c>
    </row>
    <row r="133" spans="1:140">
      <c r="A133" s="287"/>
      <c r="B133" s="288" t="s">
        <v>2722</v>
      </c>
      <c r="C133" s="292" t="s">
        <v>1242</v>
      </c>
      <c r="D133" s="293">
        <v>10.01</v>
      </c>
      <c r="E133" s="293">
        <v>2.0099999999999998</v>
      </c>
      <c r="F133" s="293" t="s">
        <v>2412</v>
      </c>
      <c r="G133" s="293"/>
      <c r="H133" s="291" t="s">
        <v>768</v>
      </c>
      <c r="I133" s="288"/>
      <c r="J133" s="288"/>
      <c r="K133" s="288"/>
      <c r="R133" s="292" t="s">
        <v>3138</v>
      </c>
      <c r="EJ133" s="292" t="s">
        <v>3484</v>
      </c>
    </row>
    <row r="134" spans="1:140">
      <c r="A134" s="287"/>
      <c r="B134" s="288" t="s">
        <v>2722</v>
      </c>
      <c r="C134" s="292" t="s">
        <v>2103</v>
      </c>
      <c r="D134" s="288" t="s">
        <v>2104</v>
      </c>
      <c r="E134" s="293"/>
      <c r="F134" s="293"/>
      <c r="G134" s="288"/>
      <c r="I134" s="288"/>
      <c r="J134" s="288"/>
      <c r="K134" s="288"/>
      <c r="R134" s="292" t="s">
        <v>2639</v>
      </c>
      <c r="EJ134" s="292" t="s">
        <v>3485</v>
      </c>
    </row>
    <row r="135" spans="1:140">
      <c r="A135" s="287"/>
      <c r="B135" s="288" t="s">
        <v>2722</v>
      </c>
      <c r="C135" s="292" t="s">
        <v>1428</v>
      </c>
      <c r="D135" s="288" t="s">
        <v>2105</v>
      </c>
      <c r="E135" s="293">
        <v>1.41</v>
      </c>
      <c r="F135" s="293" t="s">
        <v>328</v>
      </c>
      <c r="G135" s="288"/>
      <c r="H135" s="296"/>
      <c r="I135" s="288"/>
      <c r="J135" s="288"/>
      <c r="K135" s="288"/>
      <c r="R135" s="292" t="s">
        <v>2640</v>
      </c>
      <c r="EJ135" s="292" t="s">
        <v>3486</v>
      </c>
    </row>
    <row r="136" spans="1:140">
      <c r="A136" s="287"/>
      <c r="B136" s="288" t="s">
        <v>2722</v>
      </c>
      <c r="C136" s="292" t="s">
        <v>1427</v>
      </c>
      <c r="D136" s="293">
        <v>10.55</v>
      </c>
      <c r="E136" s="293">
        <v>1.91</v>
      </c>
      <c r="F136" s="293" t="s">
        <v>328</v>
      </c>
      <c r="G136" s="288"/>
      <c r="I136" s="293"/>
      <c r="J136" s="293"/>
      <c r="K136" s="293"/>
      <c r="R136" s="292" t="s">
        <v>2641</v>
      </c>
      <c r="EJ136" s="292" t="s">
        <v>3490</v>
      </c>
    </row>
    <row r="137" spans="1:140">
      <c r="A137" s="287"/>
      <c r="B137" s="288" t="s">
        <v>2722</v>
      </c>
      <c r="C137" s="292" t="s">
        <v>3106</v>
      </c>
      <c r="D137" s="288" t="s">
        <v>2106</v>
      </c>
      <c r="E137" s="293">
        <v>2.2000000000000002</v>
      </c>
      <c r="F137" s="288" t="s">
        <v>2411</v>
      </c>
      <c r="G137" s="288"/>
      <c r="I137" s="288"/>
      <c r="J137" s="288"/>
      <c r="K137" s="288"/>
      <c r="R137" s="292" t="s">
        <v>463</v>
      </c>
      <c r="EJ137" s="292" t="s">
        <v>3491</v>
      </c>
    </row>
    <row r="138" spans="1:140">
      <c r="A138" s="287"/>
      <c r="B138" s="288" t="s">
        <v>2722</v>
      </c>
      <c r="C138" s="292" t="s">
        <v>1430</v>
      </c>
      <c r="D138" s="293">
        <v>10.7</v>
      </c>
      <c r="E138" s="293">
        <v>1.52</v>
      </c>
      <c r="F138" s="293" t="s">
        <v>2437</v>
      </c>
      <c r="G138" s="293"/>
      <c r="I138" s="293"/>
      <c r="J138" s="293"/>
      <c r="K138" s="293"/>
      <c r="R138" s="292" t="s">
        <v>464</v>
      </c>
      <c r="EJ138" s="292" t="s">
        <v>3504</v>
      </c>
    </row>
    <row r="139" spans="1:140">
      <c r="A139" s="287"/>
      <c r="B139" s="288" t="s">
        <v>2722</v>
      </c>
      <c r="C139" s="292" t="s">
        <v>1429</v>
      </c>
      <c r="D139" s="293">
        <v>10.7</v>
      </c>
      <c r="E139" s="293">
        <v>1.9</v>
      </c>
      <c r="F139" s="293" t="s">
        <v>2437</v>
      </c>
      <c r="G139" s="288"/>
      <c r="I139" s="293"/>
      <c r="J139" s="293"/>
      <c r="K139" s="293"/>
      <c r="R139" s="292" t="s">
        <v>467</v>
      </c>
      <c r="EJ139" s="292" t="s">
        <v>453</v>
      </c>
    </row>
    <row r="140" spans="1:140">
      <c r="A140" s="287"/>
      <c r="B140" s="288" t="s">
        <v>2722</v>
      </c>
      <c r="C140" s="292" t="s">
        <v>1243</v>
      </c>
      <c r="D140" s="288" t="s">
        <v>2056</v>
      </c>
      <c r="E140" s="293">
        <v>1.85</v>
      </c>
      <c r="F140" s="293" t="s">
        <v>376</v>
      </c>
      <c r="G140" s="293"/>
      <c r="H140" s="296"/>
      <c r="I140" s="293"/>
      <c r="J140" s="293"/>
      <c r="K140" s="293"/>
      <c r="R140" s="292" t="s">
        <v>466</v>
      </c>
      <c r="EJ140" s="292" t="s">
        <v>452</v>
      </c>
    </row>
    <row r="141" spans="1:140">
      <c r="A141" s="287"/>
      <c r="B141" s="288" t="s">
        <v>2722</v>
      </c>
      <c r="C141" s="292" t="s">
        <v>1244</v>
      </c>
      <c r="D141" s="288" t="s">
        <v>2056</v>
      </c>
      <c r="E141" s="293">
        <v>1.8</v>
      </c>
      <c r="F141" s="293" t="s">
        <v>352</v>
      </c>
      <c r="G141" s="293"/>
      <c r="I141" s="288"/>
      <c r="J141" s="288"/>
      <c r="K141" s="288"/>
      <c r="EJ141" s="292" t="s">
        <v>2889</v>
      </c>
    </row>
    <row r="142" spans="1:140">
      <c r="A142" s="287"/>
      <c r="B142" s="288" t="s">
        <v>2722</v>
      </c>
      <c r="C142" s="292" t="s">
        <v>1245</v>
      </c>
      <c r="D142" s="288" t="s">
        <v>2056</v>
      </c>
      <c r="E142" s="293">
        <v>1.45</v>
      </c>
      <c r="F142" s="293" t="s">
        <v>352</v>
      </c>
      <c r="G142" s="293"/>
      <c r="H142" s="296"/>
      <c r="I142" s="288"/>
      <c r="J142" s="288"/>
      <c r="K142" s="288"/>
      <c r="EJ142" s="292" t="s">
        <v>2890</v>
      </c>
    </row>
    <row r="143" spans="1:140">
      <c r="A143" s="287"/>
      <c r="B143" s="288" t="s">
        <v>2722</v>
      </c>
      <c r="C143" s="292" t="s">
        <v>3107</v>
      </c>
      <c r="D143" s="293">
        <v>10.66</v>
      </c>
      <c r="E143" s="293">
        <v>1.8</v>
      </c>
      <c r="F143" s="293" t="s">
        <v>2424</v>
      </c>
      <c r="G143" s="288"/>
      <c r="H143" s="296"/>
      <c r="I143" s="288"/>
      <c r="J143" s="288"/>
      <c r="K143" s="288"/>
      <c r="EJ143" s="292" t="s">
        <v>2891</v>
      </c>
    </row>
    <row r="144" spans="1:140">
      <c r="A144" s="287"/>
      <c r="B144" s="288" t="s">
        <v>2722</v>
      </c>
      <c r="C144" s="292" t="s">
        <v>3108</v>
      </c>
      <c r="D144" s="293">
        <v>10.66</v>
      </c>
      <c r="E144" s="293">
        <v>2.21</v>
      </c>
      <c r="F144" s="293" t="s">
        <v>2424</v>
      </c>
      <c r="G144" s="288"/>
      <c r="H144" s="296"/>
      <c r="I144" s="288"/>
      <c r="J144" s="288"/>
      <c r="K144" s="288"/>
      <c r="EJ144" s="292" t="s">
        <v>2892</v>
      </c>
    </row>
    <row r="145" spans="1:140">
      <c r="A145" s="287"/>
      <c r="B145" s="288" t="s">
        <v>2722</v>
      </c>
      <c r="C145" s="292" t="s">
        <v>3109</v>
      </c>
      <c r="D145" s="293">
        <v>10.66</v>
      </c>
      <c r="E145" s="293">
        <v>2.21</v>
      </c>
      <c r="F145" s="293" t="s">
        <v>2424</v>
      </c>
      <c r="G145" s="288"/>
      <c r="I145" s="293"/>
      <c r="J145" s="293"/>
      <c r="K145" s="293"/>
      <c r="EJ145" s="292" t="s">
        <v>2893</v>
      </c>
    </row>
    <row r="146" spans="1:140">
      <c r="A146" s="287"/>
      <c r="B146" s="288" t="s">
        <v>2722</v>
      </c>
      <c r="C146" s="292" t="s">
        <v>3110</v>
      </c>
      <c r="D146" s="293">
        <v>10.45</v>
      </c>
      <c r="E146" s="293">
        <v>1.85</v>
      </c>
      <c r="F146" s="293" t="s">
        <v>342</v>
      </c>
      <c r="G146" s="288"/>
      <c r="I146" s="288"/>
      <c r="J146" s="288"/>
      <c r="K146" s="288"/>
      <c r="EJ146" s="292" t="s">
        <v>2911</v>
      </c>
    </row>
    <row r="147" spans="1:140">
      <c r="A147" s="287"/>
      <c r="B147" s="288" t="s">
        <v>2722</v>
      </c>
      <c r="C147" s="292" t="s">
        <v>3111</v>
      </c>
      <c r="D147" s="293">
        <v>10.45</v>
      </c>
      <c r="E147" s="293">
        <v>2.1</v>
      </c>
      <c r="F147" s="293" t="s">
        <v>342</v>
      </c>
      <c r="G147" s="293"/>
      <c r="I147" s="288"/>
      <c r="J147" s="288"/>
      <c r="K147" s="288"/>
      <c r="EJ147" s="292" t="s">
        <v>2912</v>
      </c>
    </row>
    <row r="148" spans="1:140">
      <c r="A148" s="287"/>
      <c r="B148" s="288" t="s">
        <v>2722</v>
      </c>
      <c r="C148" s="292" t="s">
        <v>3113</v>
      </c>
      <c r="D148" s="288" t="s">
        <v>2107</v>
      </c>
      <c r="E148" s="293">
        <v>1.47</v>
      </c>
      <c r="F148" s="293" t="s">
        <v>355</v>
      </c>
      <c r="G148" s="288"/>
      <c r="I148" s="288"/>
      <c r="J148" s="288"/>
      <c r="K148" s="288"/>
      <c r="EJ148" s="292" t="s">
        <v>2571</v>
      </c>
    </row>
    <row r="149" spans="1:140">
      <c r="A149" s="287"/>
      <c r="B149" s="288" t="s">
        <v>2722</v>
      </c>
      <c r="C149" s="292" t="s">
        <v>3112</v>
      </c>
      <c r="D149" s="293">
        <v>11.29</v>
      </c>
      <c r="E149" s="293">
        <v>1.98</v>
      </c>
      <c r="F149" s="293" t="s">
        <v>355</v>
      </c>
      <c r="G149" s="288"/>
      <c r="H149" s="296"/>
      <c r="I149" s="288"/>
      <c r="J149" s="288"/>
      <c r="K149" s="288"/>
      <c r="EJ149" s="292" t="s">
        <v>2572</v>
      </c>
    </row>
    <row r="150" spans="1:140">
      <c r="A150" s="287"/>
      <c r="B150" s="288" t="s">
        <v>2722</v>
      </c>
      <c r="C150" s="292" t="s">
        <v>3115</v>
      </c>
      <c r="D150" s="293">
        <v>11.75</v>
      </c>
      <c r="E150" s="293">
        <v>1.71</v>
      </c>
      <c r="F150" s="293" t="s">
        <v>2435</v>
      </c>
      <c r="G150" s="288"/>
      <c r="I150" s="288"/>
      <c r="J150" s="288"/>
      <c r="K150" s="288"/>
      <c r="EJ150" s="292" t="s">
        <v>2573</v>
      </c>
    </row>
    <row r="151" spans="1:140">
      <c r="A151" s="287"/>
      <c r="B151" s="288" t="s">
        <v>2722</v>
      </c>
      <c r="C151" s="292" t="s">
        <v>3114</v>
      </c>
      <c r="D151" s="293">
        <v>11.75</v>
      </c>
      <c r="E151" s="293">
        <v>2.1</v>
      </c>
      <c r="F151" s="293" t="s">
        <v>2435</v>
      </c>
      <c r="G151" s="288"/>
      <c r="I151" s="288"/>
      <c r="J151" s="288"/>
      <c r="K151" s="288"/>
      <c r="EJ151" s="292" t="s">
        <v>2574</v>
      </c>
    </row>
    <row r="152" spans="1:140">
      <c r="A152" s="287"/>
      <c r="B152" s="288" t="s">
        <v>2722</v>
      </c>
      <c r="C152" s="292" t="s">
        <v>3118</v>
      </c>
      <c r="D152" s="288" t="s">
        <v>2108</v>
      </c>
      <c r="E152" s="293">
        <v>1.86</v>
      </c>
      <c r="F152" s="293" t="s">
        <v>2442</v>
      </c>
      <c r="G152" s="288"/>
      <c r="I152" s="288"/>
      <c r="J152" s="288"/>
      <c r="K152" s="288"/>
      <c r="EJ152" s="292" t="s">
        <v>2575</v>
      </c>
    </row>
    <row r="153" spans="1:140">
      <c r="A153" s="287"/>
      <c r="B153" s="288" t="s">
        <v>2722</v>
      </c>
      <c r="C153" s="292" t="s">
        <v>3116</v>
      </c>
      <c r="D153" s="288" t="s">
        <v>2108</v>
      </c>
      <c r="E153" s="293">
        <v>1.9</v>
      </c>
      <c r="F153" s="293" t="s">
        <v>2442</v>
      </c>
      <c r="G153" s="288"/>
      <c r="I153" s="288"/>
      <c r="J153" s="288"/>
      <c r="K153" s="288"/>
      <c r="EJ153" s="292" t="s">
        <v>2577</v>
      </c>
    </row>
    <row r="154" spans="1:140">
      <c r="A154" s="287"/>
      <c r="B154" s="288" t="s">
        <v>2722</v>
      </c>
      <c r="C154" s="292" t="s">
        <v>3117</v>
      </c>
      <c r="D154" s="288" t="s">
        <v>2108</v>
      </c>
      <c r="E154" s="293">
        <v>2.12</v>
      </c>
      <c r="F154" s="293" t="s">
        <v>2442</v>
      </c>
      <c r="G154" s="288"/>
      <c r="I154" s="288"/>
      <c r="J154" s="288"/>
      <c r="K154" s="288"/>
      <c r="EJ154" s="292" t="s">
        <v>2578</v>
      </c>
    </row>
    <row r="155" spans="1:140">
      <c r="A155" s="287"/>
      <c r="B155" s="288" t="s">
        <v>2722</v>
      </c>
      <c r="C155" s="292" t="s">
        <v>546</v>
      </c>
      <c r="D155" s="293">
        <v>12.24</v>
      </c>
      <c r="E155" s="293">
        <v>2.48</v>
      </c>
      <c r="F155" s="288" t="s">
        <v>334</v>
      </c>
      <c r="G155" s="288"/>
      <c r="I155" s="288"/>
      <c r="J155" s="288"/>
      <c r="K155" s="288"/>
      <c r="EJ155" s="292" t="s">
        <v>2579</v>
      </c>
    </row>
    <row r="156" spans="1:140">
      <c r="A156" s="287"/>
      <c r="B156" s="288" t="s">
        <v>2722</v>
      </c>
      <c r="C156" s="292" t="s">
        <v>3120</v>
      </c>
      <c r="D156" s="293">
        <v>12.24</v>
      </c>
      <c r="E156" s="293">
        <v>1.95</v>
      </c>
      <c r="F156" s="288" t="s">
        <v>334</v>
      </c>
      <c r="G156" s="288"/>
      <c r="I156" s="288"/>
      <c r="J156" s="288"/>
      <c r="K156" s="288"/>
      <c r="EJ156" s="292" t="s">
        <v>2586</v>
      </c>
    </row>
    <row r="157" spans="1:140">
      <c r="A157" s="287"/>
      <c r="B157" s="288" t="s">
        <v>2722</v>
      </c>
      <c r="C157" s="292" t="s">
        <v>3119</v>
      </c>
      <c r="D157" s="293">
        <v>12.24</v>
      </c>
      <c r="E157" s="293">
        <v>2.4500000000000002</v>
      </c>
      <c r="F157" s="288" t="s">
        <v>334</v>
      </c>
      <c r="G157" s="288"/>
      <c r="I157" s="293"/>
      <c r="J157" s="293"/>
      <c r="K157" s="293"/>
      <c r="EJ157" s="292" t="s">
        <v>597</v>
      </c>
    </row>
    <row r="158" spans="1:140">
      <c r="A158" s="287"/>
      <c r="B158" s="288" t="s">
        <v>2722</v>
      </c>
      <c r="C158" s="292" t="s">
        <v>785</v>
      </c>
      <c r="D158" s="293">
        <v>12.24</v>
      </c>
      <c r="E158" s="293">
        <v>1.48</v>
      </c>
      <c r="F158" s="288" t="s">
        <v>334</v>
      </c>
      <c r="G158" s="288"/>
      <c r="I158" s="293"/>
      <c r="J158" s="293"/>
      <c r="K158" s="293"/>
      <c r="EJ158" s="292" t="s">
        <v>2607</v>
      </c>
    </row>
    <row r="159" spans="1:140">
      <c r="A159" s="287"/>
      <c r="B159" s="288" t="s">
        <v>2722</v>
      </c>
      <c r="C159" s="292" t="s">
        <v>547</v>
      </c>
      <c r="D159" s="288" t="s">
        <v>2109</v>
      </c>
      <c r="E159" s="288" t="s">
        <v>432</v>
      </c>
      <c r="F159" s="293" t="s">
        <v>2408</v>
      </c>
      <c r="G159" s="293"/>
      <c r="I159" s="288"/>
      <c r="J159" s="288"/>
      <c r="K159" s="288"/>
      <c r="EJ159" s="292" t="s">
        <v>2608</v>
      </c>
    </row>
    <row r="160" spans="1:140">
      <c r="A160" s="287"/>
      <c r="B160" s="288" t="s">
        <v>2722</v>
      </c>
      <c r="C160" s="292" t="s">
        <v>3121</v>
      </c>
      <c r="D160" s="288" t="s">
        <v>2109</v>
      </c>
      <c r="E160" s="293">
        <v>2.5499999999999998</v>
      </c>
      <c r="F160" s="293" t="s">
        <v>376</v>
      </c>
      <c r="G160" s="293"/>
      <c r="I160" s="293"/>
      <c r="J160" s="293"/>
      <c r="K160" s="293"/>
      <c r="EJ160" s="292" t="s">
        <v>2609</v>
      </c>
    </row>
    <row r="161" spans="1:140">
      <c r="A161" s="287"/>
      <c r="B161" s="288" t="s">
        <v>2722</v>
      </c>
      <c r="C161" s="292" t="s">
        <v>3122</v>
      </c>
      <c r="D161" s="293">
        <v>11.92</v>
      </c>
      <c r="E161" s="293">
        <v>2.4</v>
      </c>
      <c r="F161" s="293" t="s">
        <v>2408</v>
      </c>
      <c r="G161" s="288"/>
      <c r="H161" s="296"/>
      <c r="I161" s="288"/>
      <c r="J161" s="288"/>
      <c r="K161" s="288"/>
      <c r="EJ161" s="292" t="s">
        <v>2610</v>
      </c>
    </row>
    <row r="162" spans="1:140">
      <c r="A162" s="287"/>
      <c r="B162" s="288" t="s">
        <v>2722</v>
      </c>
      <c r="C162" s="292" t="s">
        <v>1246</v>
      </c>
      <c r="D162" s="293">
        <v>12</v>
      </c>
      <c r="E162" s="293">
        <v>2.17</v>
      </c>
      <c r="F162" s="293" t="s">
        <v>355</v>
      </c>
      <c r="G162" s="293"/>
      <c r="H162" s="296"/>
      <c r="I162" s="293"/>
      <c r="J162" s="293"/>
      <c r="K162" s="293"/>
      <c r="EJ162" s="292" t="s">
        <v>2612</v>
      </c>
    </row>
    <row r="163" spans="1:140">
      <c r="A163" s="287"/>
      <c r="B163" s="288" t="s">
        <v>2722</v>
      </c>
      <c r="C163" s="292" t="s">
        <v>1247</v>
      </c>
      <c r="D163" s="288" t="s">
        <v>2110</v>
      </c>
      <c r="E163" s="293">
        <v>2</v>
      </c>
      <c r="F163" s="293" t="s">
        <v>352</v>
      </c>
      <c r="G163" s="288"/>
      <c r="I163" s="288"/>
      <c r="J163" s="288"/>
      <c r="K163" s="288"/>
      <c r="EJ163" s="292" t="s">
        <v>2615</v>
      </c>
    </row>
    <row r="164" spans="1:140">
      <c r="A164" s="287"/>
      <c r="B164" s="288" t="s">
        <v>2722</v>
      </c>
      <c r="C164" s="292" t="s">
        <v>1248</v>
      </c>
      <c r="D164" s="288" t="s">
        <v>2110</v>
      </c>
      <c r="E164" s="293">
        <v>2.02</v>
      </c>
      <c r="F164" s="293" t="s">
        <v>352</v>
      </c>
      <c r="G164" s="293"/>
      <c r="H164" s="296"/>
      <c r="I164" s="288"/>
      <c r="J164" s="288"/>
      <c r="K164" s="288"/>
      <c r="EJ164" s="292" t="s">
        <v>4803</v>
      </c>
    </row>
    <row r="165" spans="1:140">
      <c r="A165" s="287"/>
      <c r="B165" s="288" t="s">
        <v>2722</v>
      </c>
      <c r="C165" s="292" t="s">
        <v>1249</v>
      </c>
      <c r="D165" s="288" t="s">
        <v>2111</v>
      </c>
      <c r="E165" s="293">
        <v>2.2000000000000002</v>
      </c>
      <c r="F165" s="293" t="s">
        <v>349</v>
      </c>
      <c r="G165" s="288"/>
      <c r="I165" s="288"/>
      <c r="J165" s="288"/>
      <c r="K165" s="288"/>
      <c r="EJ165" s="292" t="s">
        <v>2651</v>
      </c>
    </row>
    <row r="166" spans="1:140">
      <c r="A166" s="287"/>
      <c r="B166" s="288" t="s">
        <v>2722</v>
      </c>
      <c r="C166" s="292" t="s">
        <v>549</v>
      </c>
      <c r="D166" s="288" t="s">
        <v>1720</v>
      </c>
      <c r="E166" s="288" t="s">
        <v>447</v>
      </c>
      <c r="F166" s="288" t="s">
        <v>376</v>
      </c>
      <c r="G166" s="288"/>
      <c r="H166" s="296"/>
      <c r="I166" s="293"/>
      <c r="J166" s="293"/>
      <c r="K166" s="293"/>
      <c r="EJ166" s="292" t="s">
        <v>2652</v>
      </c>
    </row>
    <row r="167" spans="1:140">
      <c r="A167" s="287"/>
      <c r="B167" s="288" t="s">
        <v>2722</v>
      </c>
      <c r="C167" s="292" t="s">
        <v>548</v>
      </c>
      <c r="D167" s="293">
        <v>12.7</v>
      </c>
      <c r="E167" s="288" t="s">
        <v>1713</v>
      </c>
      <c r="F167" s="293" t="s">
        <v>376</v>
      </c>
      <c r="G167" s="288"/>
      <c r="I167" s="288"/>
      <c r="J167" s="288"/>
      <c r="K167" s="288"/>
      <c r="EJ167" s="292" t="s">
        <v>2653</v>
      </c>
    </row>
    <row r="168" spans="1:140">
      <c r="A168" s="287"/>
      <c r="B168" s="288" t="s">
        <v>2722</v>
      </c>
      <c r="C168" s="292" t="s">
        <v>1250</v>
      </c>
      <c r="D168" s="293">
        <v>12.7</v>
      </c>
      <c r="E168" s="293">
        <v>1.83</v>
      </c>
      <c r="F168" s="293" t="s">
        <v>376</v>
      </c>
      <c r="G168" s="293"/>
      <c r="I168" s="288"/>
      <c r="J168" s="288"/>
      <c r="K168" s="288"/>
      <c r="EJ168" s="292" t="s">
        <v>813</v>
      </c>
    </row>
    <row r="169" spans="1:140">
      <c r="A169" s="287"/>
      <c r="B169" s="288" t="s">
        <v>2722</v>
      </c>
      <c r="C169" s="292" t="s">
        <v>1251</v>
      </c>
      <c r="D169" s="293">
        <v>13.3</v>
      </c>
      <c r="E169" s="293">
        <v>2.31</v>
      </c>
      <c r="F169" s="293" t="s">
        <v>328</v>
      </c>
      <c r="G169" s="288"/>
      <c r="I169" s="288"/>
      <c r="J169" s="288"/>
      <c r="K169" s="288"/>
      <c r="EJ169" s="292" t="s">
        <v>2667</v>
      </c>
    </row>
    <row r="170" spans="1:140">
      <c r="A170" s="287"/>
      <c r="B170" s="288" t="s">
        <v>2722</v>
      </c>
      <c r="C170" s="292" t="s">
        <v>1252</v>
      </c>
      <c r="D170" s="293">
        <v>13.3</v>
      </c>
      <c r="E170" s="293">
        <v>3.2</v>
      </c>
      <c r="F170" s="293" t="s">
        <v>328</v>
      </c>
      <c r="G170" s="288"/>
      <c r="H170" s="296"/>
      <c r="I170" s="288"/>
      <c r="J170" s="288"/>
      <c r="K170" s="288"/>
      <c r="EJ170" s="292" t="s">
        <v>2668</v>
      </c>
    </row>
    <row r="171" spans="1:140">
      <c r="A171" s="287"/>
      <c r="B171" s="288" t="s">
        <v>2722</v>
      </c>
      <c r="C171" s="292" t="s">
        <v>550</v>
      </c>
      <c r="D171" s="288" t="s">
        <v>2112</v>
      </c>
      <c r="E171" s="288" t="s">
        <v>471</v>
      </c>
      <c r="F171" s="293" t="s">
        <v>2410</v>
      </c>
      <c r="G171" s="288"/>
      <c r="I171" s="288"/>
      <c r="J171" s="288"/>
      <c r="K171" s="288"/>
      <c r="EJ171" s="292" t="s">
        <v>2669</v>
      </c>
    </row>
    <row r="172" spans="1:140">
      <c r="A172" s="287"/>
      <c r="B172" s="288" t="s">
        <v>2722</v>
      </c>
      <c r="C172" s="292" t="s">
        <v>3123</v>
      </c>
      <c r="D172" s="288" t="s">
        <v>2112</v>
      </c>
      <c r="E172" s="293">
        <v>2.65</v>
      </c>
      <c r="F172" s="293" t="s">
        <v>2410</v>
      </c>
      <c r="G172" s="288"/>
      <c r="I172" s="293"/>
      <c r="J172" s="293"/>
      <c r="K172" s="293"/>
      <c r="EJ172" s="292" t="s">
        <v>2683</v>
      </c>
    </row>
    <row r="173" spans="1:140">
      <c r="A173" s="287"/>
      <c r="B173" s="288" t="s">
        <v>2722</v>
      </c>
      <c r="C173" s="292" t="s">
        <v>3124</v>
      </c>
      <c r="D173" s="293">
        <v>13.68</v>
      </c>
      <c r="E173" s="293">
        <v>2.4</v>
      </c>
      <c r="F173" s="288" t="s">
        <v>2413</v>
      </c>
      <c r="G173" s="288"/>
      <c r="I173" s="293"/>
      <c r="J173" s="293"/>
      <c r="K173" s="293"/>
      <c r="EJ173" s="292" t="s">
        <v>2684</v>
      </c>
    </row>
    <row r="174" spans="1:140">
      <c r="A174" s="287"/>
      <c r="B174" s="288" t="s">
        <v>2722</v>
      </c>
      <c r="C174" s="292" t="s">
        <v>3125</v>
      </c>
      <c r="D174" s="293">
        <v>13.68</v>
      </c>
      <c r="E174" s="293">
        <v>2.72</v>
      </c>
      <c r="F174" s="288" t="s">
        <v>2413</v>
      </c>
      <c r="G174" s="293"/>
      <c r="I174" s="288"/>
      <c r="J174" s="288"/>
      <c r="K174" s="288"/>
      <c r="EJ174" s="292" t="s">
        <v>814</v>
      </c>
    </row>
    <row r="175" spans="1:140">
      <c r="A175" s="287"/>
      <c r="B175" s="288" t="s">
        <v>2722</v>
      </c>
      <c r="C175" s="292" t="s">
        <v>3126</v>
      </c>
      <c r="D175" s="293">
        <v>13.67</v>
      </c>
      <c r="E175" s="293">
        <v>2.15</v>
      </c>
      <c r="F175" s="293" t="s">
        <v>2405</v>
      </c>
      <c r="G175" s="293"/>
      <c r="I175" s="288"/>
      <c r="J175" s="288"/>
      <c r="K175" s="288"/>
      <c r="EJ175" s="292" t="s">
        <v>2687</v>
      </c>
    </row>
    <row r="176" spans="1:140">
      <c r="A176" s="287"/>
      <c r="B176" s="288" t="s">
        <v>2722</v>
      </c>
      <c r="C176" s="292" t="s">
        <v>3127</v>
      </c>
      <c r="D176" s="293">
        <v>13.67</v>
      </c>
      <c r="E176" s="293">
        <v>2.4</v>
      </c>
      <c r="F176" s="293" t="s">
        <v>2405</v>
      </c>
      <c r="G176" s="288"/>
      <c r="H176" s="296"/>
      <c r="I176" s="293"/>
      <c r="J176" s="293"/>
      <c r="K176" s="293"/>
      <c r="EJ176" s="292" t="s">
        <v>2690</v>
      </c>
    </row>
    <row r="177" spans="1:140">
      <c r="A177" s="287"/>
      <c r="B177" s="288" t="s">
        <v>2722</v>
      </c>
      <c r="C177" s="292" t="s">
        <v>3128</v>
      </c>
      <c r="D177" s="293">
        <v>14.5</v>
      </c>
      <c r="E177" s="293">
        <v>2.8</v>
      </c>
      <c r="F177" s="293" t="s">
        <v>366</v>
      </c>
      <c r="G177" s="288"/>
      <c r="H177" s="296"/>
      <c r="I177" s="293"/>
      <c r="J177" s="293"/>
      <c r="K177" s="293"/>
      <c r="EJ177" s="292" t="s">
        <v>2693</v>
      </c>
    </row>
    <row r="178" spans="1:140">
      <c r="A178" s="287"/>
      <c r="B178" s="288" t="s">
        <v>2722</v>
      </c>
      <c r="C178" s="292" t="s">
        <v>3129</v>
      </c>
      <c r="D178" s="293">
        <v>14.5</v>
      </c>
      <c r="E178" s="293">
        <v>2.2999999999999998</v>
      </c>
      <c r="F178" s="293" t="s">
        <v>366</v>
      </c>
      <c r="G178" s="293"/>
      <c r="I178" s="288"/>
      <c r="J178" s="288"/>
      <c r="K178" s="288"/>
      <c r="EJ178" s="292" t="s">
        <v>2696</v>
      </c>
    </row>
    <row r="179" spans="1:140">
      <c r="A179" s="287"/>
      <c r="B179" s="288" t="s">
        <v>2722</v>
      </c>
      <c r="C179" s="292" t="s">
        <v>1253</v>
      </c>
      <c r="D179" s="293">
        <v>14.5</v>
      </c>
      <c r="E179" s="293">
        <v>1.88</v>
      </c>
      <c r="F179" s="293" t="s">
        <v>366</v>
      </c>
      <c r="G179" s="293"/>
      <c r="I179" s="293"/>
      <c r="J179" s="293"/>
      <c r="K179" s="293"/>
      <c r="EJ179" s="292" t="s">
        <v>2697</v>
      </c>
    </row>
    <row r="180" spans="1:140">
      <c r="A180" s="287"/>
      <c r="B180" s="288" t="s">
        <v>2722</v>
      </c>
      <c r="C180" s="292" t="s">
        <v>1254</v>
      </c>
      <c r="D180" s="293">
        <v>14.98</v>
      </c>
      <c r="E180" s="293">
        <v>2.8</v>
      </c>
      <c r="F180" s="288" t="s">
        <v>2427</v>
      </c>
      <c r="G180" s="288"/>
      <c r="H180" s="296"/>
      <c r="I180" s="288"/>
      <c r="J180" s="288"/>
      <c r="K180" s="288"/>
      <c r="EJ180" s="292" t="s">
        <v>2698</v>
      </c>
    </row>
    <row r="181" spans="1:140">
      <c r="A181" s="287"/>
      <c r="B181" s="288" t="s">
        <v>2722</v>
      </c>
      <c r="C181" s="292" t="s">
        <v>4216</v>
      </c>
      <c r="D181" s="288" t="s">
        <v>2113</v>
      </c>
      <c r="E181" s="293">
        <v>2.85</v>
      </c>
      <c r="F181" s="293" t="s">
        <v>3069</v>
      </c>
      <c r="G181" s="293"/>
      <c r="H181" s="296"/>
      <c r="I181" s="288"/>
      <c r="J181" s="288"/>
      <c r="K181" s="288"/>
      <c r="EJ181" s="292" t="s">
        <v>2699</v>
      </c>
    </row>
    <row r="182" spans="1:140">
      <c r="A182" s="287"/>
      <c r="B182" s="288" t="s">
        <v>2722</v>
      </c>
      <c r="C182" s="292" t="s">
        <v>4217</v>
      </c>
      <c r="D182" s="293">
        <v>15.24</v>
      </c>
      <c r="E182" s="293">
        <v>1.8</v>
      </c>
      <c r="F182" s="293" t="s">
        <v>347</v>
      </c>
      <c r="G182" s="288"/>
      <c r="I182" s="288"/>
      <c r="J182" s="288"/>
      <c r="K182" s="288"/>
      <c r="EJ182" s="292" t="s">
        <v>2700</v>
      </c>
    </row>
    <row r="183" spans="1:140">
      <c r="A183" s="287"/>
      <c r="B183" s="288" t="s">
        <v>2722</v>
      </c>
      <c r="C183" s="292" t="s">
        <v>4218</v>
      </c>
      <c r="D183" s="293">
        <v>15.75</v>
      </c>
      <c r="E183" s="293">
        <v>2.4500000000000002</v>
      </c>
      <c r="F183" s="293" t="s">
        <v>330</v>
      </c>
      <c r="G183" s="288"/>
      <c r="H183" s="296"/>
      <c r="I183" s="288"/>
      <c r="J183" s="288"/>
      <c r="K183" s="288"/>
      <c r="EJ183" s="292" t="s">
        <v>2701</v>
      </c>
    </row>
    <row r="184" spans="1:140">
      <c r="A184" s="287"/>
      <c r="B184" s="288" t="s">
        <v>2722</v>
      </c>
      <c r="C184" s="292" t="s">
        <v>4219</v>
      </c>
      <c r="D184" s="293">
        <v>6.6</v>
      </c>
      <c r="E184" s="288" t="s">
        <v>327</v>
      </c>
      <c r="F184" s="293" t="s">
        <v>3668</v>
      </c>
      <c r="G184" s="288"/>
      <c r="I184" s="293"/>
      <c r="J184" s="293"/>
      <c r="K184" s="293"/>
      <c r="EJ184" s="292" t="s">
        <v>1836</v>
      </c>
    </row>
    <row r="185" spans="1:140">
      <c r="A185" s="287"/>
      <c r="B185" s="288" t="s">
        <v>2722</v>
      </c>
      <c r="C185" s="292" t="s">
        <v>4220</v>
      </c>
      <c r="D185" s="288" t="s">
        <v>2114</v>
      </c>
      <c r="E185" s="293">
        <v>2</v>
      </c>
      <c r="F185" s="293" t="s">
        <v>2410</v>
      </c>
      <c r="G185" s="288"/>
      <c r="I185" s="288"/>
      <c r="J185" s="288"/>
      <c r="K185" s="288"/>
      <c r="EJ185" s="292" t="s">
        <v>1837</v>
      </c>
    </row>
    <row r="186" spans="1:140">
      <c r="A186" s="287"/>
      <c r="B186" s="288" t="s">
        <v>2722</v>
      </c>
      <c r="C186" s="292" t="s">
        <v>4221</v>
      </c>
      <c r="D186" s="288" t="s">
        <v>2085</v>
      </c>
      <c r="E186" s="288" t="s">
        <v>327</v>
      </c>
      <c r="F186" s="293" t="s">
        <v>3616</v>
      </c>
      <c r="G186" s="293"/>
      <c r="I186" s="293"/>
      <c r="J186" s="293"/>
      <c r="K186" s="293"/>
      <c r="EJ186" s="292" t="s">
        <v>1850</v>
      </c>
    </row>
    <row r="187" spans="1:140">
      <c r="A187" s="287"/>
      <c r="B187" s="288" t="s">
        <v>2722</v>
      </c>
      <c r="C187" s="292" t="s">
        <v>538</v>
      </c>
      <c r="D187" s="288" t="s">
        <v>540</v>
      </c>
      <c r="E187" s="288" t="s">
        <v>513</v>
      </c>
      <c r="F187" s="288" t="s">
        <v>3668</v>
      </c>
      <c r="G187" s="288"/>
      <c r="I187" s="288"/>
      <c r="J187" s="288"/>
      <c r="K187" s="288"/>
      <c r="EJ187" s="292" t="s">
        <v>1851</v>
      </c>
    </row>
    <row r="188" spans="1:140">
      <c r="A188" s="287"/>
      <c r="B188" s="288" t="s">
        <v>2722</v>
      </c>
      <c r="C188" s="292" t="s">
        <v>539</v>
      </c>
      <c r="D188" s="288" t="s">
        <v>541</v>
      </c>
      <c r="E188" s="288" t="s">
        <v>433</v>
      </c>
      <c r="F188" s="288" t="s">
        <v>3069</v>
      </c>
      <c r="G188" s="293"/>
      <c r="H188" s="296"/>
      <c r="I188" s="288"/>
      <c r="J188" s="288"/>
      <c r="K188" s="288"/>
      <c r="EJ188" s="292" t="s">
        <v>1852</v>
      </c>
    </row>
    <row r="189" spans="1:140">
      <c r="A189" s="287"/>
      <c r="B189" s="288" t="s">
        <v>2722</v>
      </c>
      <c r="C189" s="292" t="s">
        <v>4222</v>
      </c>
      <c r="D189" s="293">
        <v>9.15</v>
      </c>
      <c r="E189" s="293">
        <v>1.8</v>
      </c>
      <c r="F189" s="293" t="s">
        <v>3647</v>
      </c>
      <c r="G189" s="288"/>
      <c r="I189" s="293"/>
      <c r="J189" s="293"/>
      <c r="K189" s="293"/>
      <c r="EJ189" s="292" t="s">
        <v>1853</v>
      </c>
    </row>
    <row r="190" spans="1:140">
      <c r="A190" s="287"/>
      <c r="B190" s="288" t="s">
        <v>2722</v>
      </c>
      <c r="C190" s="292" t="s">
        <v>4223</v>
      </c>
      <c r="D190" s="293">
        <v>11</v>
      </c>
      <c r="E190" s="293">
        <v>1.92</v>
      </c>
      <c r="F190" s="293" t="s">
        <v>2442</v>
      </c>
      <c r="G190" s="288"/>
      <c r="H190" s="296"/>
      <c r="I190" s="288"/>
      <c r="J190" s="288"/>
      <c r="K190" s="288"/>
      <c r="EJ190" s="292" t="s">
        <v>815</v>
      </c>
    </row>
    <row r="191" spans="1:140">
      <c r="A191" s="287"/>
      <c r="B191" s="288" t="s">
        <v>2722</v>
      </c>
      <c r="C191" s="292" t="s">
        <v>454</v>
      </c>
      <c r="D191" s="288" t="s">
        <v>2100</v>
      </c>
      <c r="E191" s="288" t="s">
        <v>455</v>
      </c>
      <c r="F191" s="288" t="s">
        <v>334</v>
      </c>
      <c r="G191" s="293"/>
      <c r="I191" s="288"/>
      <c r="J191" s="288"/>
      <c r="K191" s="288"/>
      <c r="EJ191" s="292" t="s">
        <v>1856</v>
      </c>
    </row>
    <row r="192" spans="1:140">
      <c r="A192" s="287"/>
      <c r="B192" s="288" t="s">
        <v>2722</v>
      </c>
      <c r="C192" s="292" t="s">
        <v>2623</v>
      </c>
      <c r="D192" s="288" t="s">
        <v>1274</v>
      </c>
      <c r="E192" s="293">
        <v>1.45</v>
      </c>
      <c r="F192" s="293" t="s">
        <v>2404</v>
      </c>
      <c r="G192" s="288"/>
      <c r="I192" s="288"/>
      <c r="J192" s="288"/>
      <c r="K192" s="288"/>
      <c r="EJ192" s="292" t="s">
        <v>1859</v>
      </c>
    </row>
    <row r="193" spans="1:140">
      <c r="A193" s="287"/>
      <c r="B193" s="288" t="s">
        <v>2722</v>
      </c>
      <c r="C193" s="292" t="s">
        <v>2624</v>
      </c>
      <c r="D193" s="288" t="s">
        <v>1275</v>
      </c>
      <c r="E193" s="293">
        <v>1.5</v>
      </c>
      <c r="F193" s="293" t="s">
        <v>328</v>
      </c>
      <c r="G193" s="288"/>
      <c r="H193" s="296"/>
      <c r="I193" s="288"/>
      <c r="J193" s="288"/>
      <c r="K193" s="288"/>
      <c r="EJ193" s="292" t="s">
        <v>1869</v>
      </c>
    </row>
    <row r="194" spans="1:140">
      <c r="A194" s="287"/>
      <c r="B194" s="288" t="s">
        <v>2722</v>
      </c>
      <c r="C194" s="292" t="s">
        <v>2625</v>
      </c>
      <c r="D194" s="293">
        <v>9.99</v>
      </c>
      <c r="E194" s="293">
        <v>1.6</v>
      </c>
      <c r="F194" s="293" t="s">
        <v>366</v>
      </c>
      <c r="G194" s="288"/>
      <c r="I194" s="288"/>
      <c r="J194" s="288"/>
      <c r="K194" s="288"/>
      <c r="EJ194" s="292" t="s">
        <v>1872</v>
      </c>
    </row>
    <row r="195" spans="1:140">
      <c r="A195" s="287"/>
      <c r="B195" s="288" t="s">
        <v>2722</v>
      </c>
      <c r="C195" s="292" t="s">
        <v>2626</v>
      </c>
      <c r="D195" s="293">
        <v>9.99</v>
      </c>
      <c r="E195" s="288" t="s">
        <v>327</v>
      </c>
      <c r="F195" s="293" t="s">
        <v>366</v>
      </c>
      <c r="G195" s="288"/>
      <c r="I195" s="288"/>
      <c r="J195" s="288"/>
      <c r="K195" s="288"/>
      <c r="EJ195" s="292" t="s">
        <v>1871</v>
      </c>
    </row>
    <row r="196" spans="1:140">
      <c r="A196" s="287"/>
      <c r="B196" s="288" t="s">
        <v>2722</v>
      </c>
      <c r="C196" s="292" t="s">
        <v>2627</v>
      </c>
      <c r="D196" s="293">
        <v>9.99</v>
      </c>
      <c r="E196" s="288">
        <v>1.82</v>
      </c>
      <c r="F196" s="288" t="s">
        <v>337</v>
      </c>
      <c r="G196" s="288"/>
      <c r="I196" s="288"/>
      <c r="J196" s="288"/>
      <c r="K196" s="288"/>
      <c r="EJ196" s="292" t="s">
        <v>1897</v>
      </c>
    </row>
    <row r="197" spans="1:140">
      <c r="A197" s="287"/>
      <c r="B197" s="288" t="s">
        <v>2722</v>
      </c>
      <c r="C197" s="292" t="s">
        <v>3131</v>
      </c>
      <c r="D197" s="288" t="s">
        <v>1276</v>
      </c>
      <c r="E197" s="293">
        <v>1.3</v>
      </c>
      <c r="F197" s="293" t="s">
        <v>3069</v>
      </c>
      <c r="G197" s="288"/>
      <c r="I197" s="288"/>
      <c r="J197" s="288"/>
      <c r="K197" s="288"/>
      <c r="EJ197" s="292" t="s">
        <v>4095</v>
      </c>
    </row>
    <row r="198" spans="1:140">
      <c r="A198" s="287"/>
      <c r="B198" s="288" t="s">
        <v>2722</v>
      </c>
      <c r="C198" s="292" t="s">
        <v>3130</v>
      </c>
      <c r="D198" s="288" t="s">
        <v>1276</v>
      </c>
      <c r="E198" s="293">
        <v>1.56</v>
      </c>
      <c r="F198" s="293" t="s">
        <v>3069</v>
      </c>
      <c r="G198" s="288"/>
      <c r="I198" s="288"/>
      <c r="J198" s="288"/>
      <c r="K198" s="288"/>
      <c r="EJ198" s="292" t="s">
        <v>4096</v>
      </c>
    </row>
    <row r="199" spans="1:140">
      <c r="A199" s="287"/>
      <c r="B199" s="288" t="s">
        <v>2722</v>
      </c>
      <c r="C199" s="292" t="s">
        <v>2628</v>
      </c>
      <c r="D199" s="288" t="s">
        <v>1276</v>
      </c>
      <c r="E199" s="293">
        <v>1.34</v>
      </c>
      <c r="F199" s="293" t="s">
        <v>3069</v>
      </c>
      <c r="G199" s="288"/>
      <c r="I199" s="293"/>
      <c r="J199" s="293"/>
      <c r="K199" s="293"/>
      <c r="EJ199" s="292" t="s">
        <v>4098</v>
      </c>
    </row>
    <row r="200" spans="1:140">
      <c r="A200" s="287"/>
      <c r="B200" s="288" t="s">
        <v>2722</v>
      </c>
      <c r="C200" s="292" t="s">
        <v>2629</v>
      </c>
      <c r="D200" s="293">
        <v>10.8</v>
      </c>
      <c r="E200" s="293">
        <v>1.53</v>
      </c>
      <c r="F200" s="293" t="s">
        <v>2409</v>
      </c>
      <c r="G200" s="288"/>
      <c r="I200" s="293"/>
      <c r="J200" s="293"/>
      <c r="K200" s="293"/>
      <c r="EJ200" s="292" t="s">
        <v>274</v>
      </c>
    </row>
    <row r="201" spans="1:140">
      <c r="A201" s="287"/>
      <c r="B201" s="288" t="s">
        <v>2722</v>
      </c>
      <c r="C201" s="292" t="s">
        <v>2630</v>
      </c>
      <c r="D201" s="293">
        <v>11.13</v>
      </c>
      <c r="E201" s="293">
        <v>1.9</v>
      </c>
      <c r="F201" s="288" t="s">
        <v>334</v>
      </c>
      <c r="G201" s="293"/>
      <c r="I201" s="293"/>
      <c r="J201" s="293"/>
      <c r="K201" s="293"/>
      <c r="EJ201" s="292" t="s">
        <v>275</v>
      </c>
    </row>
    <row r="202" spans="1:140">
      <c r="A202" s="287"/>
      <c r="B202" s="288" t="s">
        <v>2722</v>
      </c>
      <c r="C202" s="292" t="s">
        <v>2631</v>
      </c>
      <c r="D202" s="288" t="s">
        <v>1277</v>
      </c>
      <c r="E202" s="293">
        <v>1.64</v>
      </c>
      <c r="F202" s="293" t="s">
        <v>3069</v>
      </c>
      <c r="G202" s="293"/>
      <c r="I202" s="293"/>
      <c r="J202" s="293"/>
      <c r="K202" s="293"/>
      <c r="EJ202" s="292" t="s">
        <v>292</v>
      </c>
    </row>
    <row r="203" spans="1:140">
      <c r="A203" s="287"/>
      <c r="B203" s="288" t="s">
        <v>2722</v>
      </c>
      <c r="C203" s="292" t="s">
        <v>3133</v>
      </c>
      <c r="D203" s="288" t="s">
        <v>1273</v>
      </c>
      <c r="E203" s="293">
        <v>1.55</v>
      </c>
      <c r="F203" s="288" t="s">
        <v>2424</v>
      </c>
      <c r="G203" s="293"/>
      <c r="H203" s="296"/>
      <c r="I203" s="288"/>
      <c r="J203" s="288"/>
      <c r="K203" s="288"/>
      <c r="EJ203" s="292" t="s">
        <v>293</v>
      </c>
    </row>
    <row r="204" spans="1:140">
      <c r="A204" s="287"/>
      <c r="B204" s="288" t="s">
        <v>2722</v>
      </c>
      <c r="C204" s="292" t="s">
        <v>3132</v>
      </c>
      <c r="D204" s="293">
        <v>11.62</v>
      </c>
      <c r="E204" s="293">
        <v>1.9</v>
      </c>
      <c r="F204" s="293" t="s">
        <v>2424</v>
      </c>
      <c r="G204" s="293"/>
      <c r="H204" s="296"/>
      <c r="I204" s="288"/>
      <c r="J204" s="288"/>
      <c r="K204" s="288"/>
      <c r="EJ204" s="292" t="s">
        <v>294</v>
      </c>
    </row>
    <row r="205" spans="1:140">
      <c r="A205" s="287"/>
      <c r="B205" s="288" t="s">
        <v>2722</v>
      </c>
      <c r="C205" s="292" t="s">
        <v>2632</v>
      </c>
      <c r="D205" s="293">
        <v>11.82</v>
      </c>
      <c r="E205" s="293">
        <v>1.95</v>
      </c>
      <c r="F205" s="288" t="s">
        <v>2427</v>
      </c>
      <c r="G205" s="288"/>
      <c r="H205" s="296"/>
      <c r="I205" s="288"/>
      <c r="J205" s="288"/>
      <c r="K205" s="288"/>
      <c r="EJ205" s="292" t="s">
        <v>295</v>
      </c>
    </row>
    <row r="206" spans="1:140">
      <c r="A206" s="287"/>
      <c r="B206" s="288" t="s">
        <v>2722</v>
      </c>
      <c r="C206" s="292" t="s">
        <v>2633</v>
      </c>
      <c r="D206" s="293">
        <v>11.78</v>
      </c>
      <c r="E206" s="293">
        <v>1.75</v>
      </c>
      <c r="F206" s="293" t="s">
        <v>330</v>
      </c>
      <c r="G206" s="288"/>
      <c r="H206" s="296"/>
      <c r="I206" s="288"/>
      <c r="J206" s="288"/>
      <c r="K206" s="288"/>
      <c r="CW206" s="297"/>
      <c r="EJ206" s="292" t="s">
        <v>296</v>
      </c>
    </row>
    <row r="207" spans="1:140">
      <c r="A207" s="287"/>
      <c r="B207" s="288" t="s">
        <v>2722</v>
      </c>
      <c r="C207" s="292" t="s">
        <v>3134</v>
      </c>
      <c r="D207" s="293">
        <v>12.31</v>
      </c>
      <c r="E207" s="293">
        <v>1.7</v>
      </c>
      <c r="F207" s="293" t="s">
        <v>2409</v>
      </c>
      <c r="G207" s="288"/>
      <c r="I207" s="293"/>
      <c r="J207" s="293"/>
      <c r="K207" s="293"/>
      <c r="BY207" s="297"/>
      <c r="EJ207" s="292" t="s">
        <v>297</v>
      </c>
    </row>
    <row r="208" spans="1:140">
      <c r="A208" s="287"/>
      <c r="B208" s="288" t="s">
        <v>2722</v>
      </c>
      <c r="C208" s="292" t="s">
        <v>3135</v>
      </c>
      <c r="D208" s="293">
        <v>12.31</v>
      </c>
      <c r="E208" s="293">
        <v>2</v>
      </c>
      <c r="F208" s="293" t="s">
        <v>2409</v>
      </c>
      <c r="G208" s="288"/>
      <c r="I208" s="288"/>
      <c r="J208" s="288"/>
      <c r="K208" s="288"/>
      <c r="BG208" s="297"/>
      <c r="BJ208" s="297"/>
      <c r="BK208" s="297"/>
      <c r="BL208" s="297"/>
      <c r="BM208" s="297"/>
      <c r="BN208" s="297"/>
      <c r="BO208" s="297"/>
      <c r="BP208" s="297"/>
      <c r="BQ208" s="297"/>
      <c r="BR208" s="297"/>
      <c r="BS208" s="297"/>
      <c r="BT208" s="297"/>
      <c r="BU208" s="297"/>
      <c r="BV208" s="297"/>
      <c r="BW208" s="297"/>
      <c r="BX208" s="297"/>
      <c r="BZ208" s="297"/>
      <c r="CA208" s="297"/>
      <c r="CB208" s="297"/>
      <c r="CC208" s="297"/>
      <c r="CD208" s="297"/>
      <c r="CE208" s="297"/>
      <c r="CF208" s="297"/>
      <c r="CG208" s="297"/>
      <c r="CH208" s="297"/>
      <c r="CI208" s="297"/>
      <c r="CJ208" s="297"/>
      <c r="CK208" s="297"/>
      <c r="CM208" s="297"/>
      <c r="CN208" s="297"/>
      <c r="CO208" s="297"/>
      <c r="CP208" s="297"/>
      <c r="CQ208" s="297"/>
      <c r="CR208" s="297"/>
      <c r="CS208" s="297"/>
      <c r="CT208" s="297"/>
      <c r="CU208" s="297"/>
      <c r="CV208" s="297"/>
      <c r="CX208" s="297"/>
      <c r="CY208" s="297"/>
      <c r="CZ208" s="297"/>
      <c r="DA208" s="297"/>
      <c r="DB208" s="297"/>
      <c r="DC208" s="297"/>
      <c r="DD208" s="297"/>
      <c r="DE208" s="297"/>
      <c r="DF208" s="297"/>
      <c r="DG208" s="297"/>
      <c r="DH208" s="297"/>
      <c r="DI208" s="297"/>
      <c r="DJ208" s="297"/>
      <c r="DK208" s="297"/>
      <c r="DL208" s="297"/>
      <c r="DM208" s="297"/>
      <c r="DO208" s="297"/>
      <c r="DP208" s="297"/>
      <c r="DQ208" s="297"/>
      <c r="DR208" s="297"/>
      <c r="DS208" s="297"/>
      <c r="DU208" s="297"/>
      <c r="DV208" s="297"/>
      <c r="DW208" s="297"/>
      <c r="DX208" s="297"/>
      <c r="DY208" s="297"/>
      <c r="DZ208" s="297"/>
      <c r="EA208" s="297"/>
      <c r="EB208" s="297"/>
      <c r="EC208" s="297"/>
      <c r="ED208" s="297"/>
      <c r="EE208" s="297"/>
      <c r="EF208" s="297"/>
      <c r="EH208" s="297"/>
      <c r="EI208" s="297"/>
      <c r="EJ208" s="292" t="s">
        <v>298</v>
      </c>
    </row>
    <row r="209" spans="1:140">
      <c r="A209" s="287"/>
      <c r="B209" s="288" t="s">
        <v>2722</v>
      </c>
      <c r="C209" s="292" t="s">
        <v>2634</v>
      </c>
      <c r="D209" s="293">
        <v>12.64</v>
      </c>
      <c r="E209" s="293">
        <v>2.1</v>
      </c>
      <c r="F209" s="293" t="s">
        <v>332</v>
      </c>
      <c r="G209" s="293"/>
      <c r="I209" s="293"/>
      <c r="J209" s="293"/>
      <c r="K209" s="293"/>
      <c r="BI209" s="297"/>
      <c r="CL209" s="297"/>
      <c r="DN209" s="297"/>
      <c r="EJ209" s="292" t="s">
        <v>299</v>
      </c>
    </row>
    <row r="210" spans="1:140">
      <c r="A210" s="287"/>
      <c r="B210" s="288" t="s">
        <v>2722</v>
      </c>
      <c r="C210" s="292" t="s">
        <v>457</v>
      </c>
      <c r="D210" s="288" t="s">
        <v>1278</v>
      </c>
      <c r="E210" s="288" t="s">
        <v>1718</v>
      </c>
      <c r="F210" s="288" t="s">
        <v>2427</v>
      </c>
      <c r="G210" s="288"/>
      <c r="I210" s="293"/>
      <c r="J210" s="293"/>
      <c r="K210" s="293"/>
      <c r="DT210" s="297"/>
      <c r="EG210" s="297"/>
      <c r="EJ210" s="292" t="s">
        <v>816</v>
      </c>
    </row>
    <row r="211" spans="1:140">
      <c r="A211" s="287"/>
      <c r="B211" s="288" t="s">
        <v>2722</v>
      </c>
      <c r="C211" s="292" t="s">
        <v>456</v>
      </c>
      <c r="D211" s="288" t="s">
        <v>1278</v>
      </c>
      <c r="E211" s="293">
        <v>2</v>
      </c>
      <c r="F211" s="288" t="s">
        <v>2427</v>
      </c>
      <c r="G211" s="293"/>
      <c r="H211" s="296"/>
      <c r="I211" s="293"/>
      <c r="J211" s="293"/>
      <c r="K211" s="293"/>
      <c r="EJ211" s="292" t="s">
        <v>300</v>
      </c>
    </row>
    <row r="212" spans="1:140">
      <c r="A212" s="287"/>
      <c r="B212" s="288" t="s">
        <v>2722</v>
      </c>
      <c r="C212" s="292" t="s">
        <v>2635</v>
      </c>
      <c r="D212" s="293">
        <v>12.6</v>
      </c>
      <c r="E212" s="293">
        <v>1.8</v>
      </c>
      <c r="F212" s="293" t="s">
        <v>352</v>
      </c>
      <c r="G212" s="293"/>
      <c r="I212" s="293"/>
      <c r="J212" s="293"/>
      <c r="K212" s="293"/>
      <c r="EJ212" s="292" t="s">
        <v>301</v>
      </c>
    </row>
    <row r="213" spans="1:140">
      <c r="A213" s="287"/>
      <c r="B213" s="288" t="s">
        <v>2722</v>
      </c>
      <c r="C213" s="292" t="s">
        <v>2636</v>
      </c>
      <c r="D213" s="293">
        <v>13.09</v>
      </c>
      <c r="E213" s="293">
        <v>1.75</v>
      </c>
      <c r="F213" s="293" t="s">
        <v>3647</v>
      </c>
      <c r="G213" s="293"/>
      <c r="H213" s="296"/>
      <c r="I213" s="288"/>
      <c r="J213" s="288"/>
      <c r="K213" s="288"/>
      <c r="EJ213" s="292" t="s">
        <v>309</v>
      </c>
    </row>
    <row r="214" spans="1:140">
      <c r="A214" s="287"/>
      <c r="B214" s="288" t="s">
        <v>2722</v>
      </c>
      <c r="C214" s="292" t="s">
        <v>458</v>
      </c>
      <c r="D214" s="288" t="s">
        <v>459</v>
      </c>
      <c r="E214" s="288" t="s">
        <v>447</v>
      </c>
      <c r="F214" s="288" t="s">
        <v>339</v>
      </c>
      <c r="G214" s="293"/>
      <c r="H214" s="296"/>
      <c r="I214" s="288"/>
      <c r="J214" s="288"/>
      <c r="K214" s="288"/>
      <c r="BH214" s="297"/>
      <c r="EJ214" s="292" t="s">
        <v>310</v>
      </c>
    </row>
    <row r="215" spans="1:140">
      <c r="A215" s="287"/>
      <c r="B215" s="288" t="s">
        <v>2722</v>
      </c>
      <c r="C215" s="292" t="s">
        <v>461</v>
      </c>
      <c r="D215" s="288" t="s">
        <v>2076</v>
      </c>
      <c r="E215" s="288" t="s">
        <v>462</v>
      </c>
      <c r="F215" s="288" t="s">
        <v>334</v>
      </c>
      <c r="G215" s="288"/>
      <c r="H215" s="296"/>
      <c r="I215" s="288"/>
      <c r="J215" s="288"/>
      <c r="K215" s="288"/>
      <c r="EJ215" s="292" t="s">
        <v>311</v>
      </c>
    </row>
    <row r="216" spans="1:140">
      <c r="A216" s="287"/>
      <c r="B216" s="288" t="s">
        <v>2722</v>
      </c>
      <c r="C216" s="292" t="s">
        <v>460</v>
      </c>
      <c r="D216" s="293">
        <v>13.7</v>
      </c>
      <c r="E216" s="293">
        <v>2.0499999999999998</v>
      </c>
      <c r="F216" s="288" t="s">
        <v>334</v>
      </c>
      <c r="G216" s="288"/>
      <c r="H216" s="296"/>
      <c r="I216" s="288"/>
      <c r="J216" s="288"/>
      <c r="K216" s="288"/>
      <c r="EJ216" s="292" t="s">
        <v>317</v>
      </c>
    </row>
    <row r="217" spans="1:140">
      <c r="A217" s="287"/>
      <c r="B217" s="288" t="s">
        <v>2722</v>
      </c>
      <c r="C217" s="292" t="s">
        <v>3137</v>
      </c>
      <c r="D217" s="293">
        <v>13.76</v>
      </c>
      <c r="E217" s="293">
        <v>1.75</v>
      </c>
      <c r="F217" s="293" t="s">
        <v>3647</v>
      </c>
      <c r="G217" s="288"/>
      <c r="I217" s="288"/>
      <c r="J217" s="288"/>
      <c r="K217" s="288"/>
      <c r="EJ217" s="292" t="s">
        <v>2206</v>
      </c>
    </row>
    <row r="218" spans="1:140">
      <c r="A218" s="287"/>
      <c r="B218" s="288" t="s">
        <v>2722</v>
      </c>
      <c r="C218" s="292" t="s">
        <v>3136</v>
      </c>
      <c r="D218" s="293">
        <v>13.76</v>
      </c>
      <c r="E218" s="293">
        <v>1.9</v>
      </c>
      <c r="F218" s="293" t="s">
        <v>3647</v>
      </c>
      <c r="G218" s="288"/>
      <c r="I218" s="288"/>
      <c r="J218" s="288"/>
      <c r="K218" s="288"/>
      <c r="EJ218" s="292" t="s">
        <v>2207</v>
      </c>
    </row>
    <row r="219" spans="1:140">
      <c r="A219" s="287"/>
      <c r="B219" s="288" t="s">
        <v>2722</v>
      </c>
      <c r="C219" s="292" t="s">
        <v>2637</v>
      </c>
      <c r="D219" s="293">
        <v>13.76</v>
      </c>
      <c r="E219" s="293">
        <v>1.75</v>
      </c>
      <c r="F219" s="293" t="s">
        <v>2404</v>
      </c>
      <c r="G219" s="288"/>
      <c r="I219" s="288"/>
      <c r="J219" s="293"/>
      <c r="K219" s="293"/>
      <c r="EJ219" s="292" t="s">
        <v>2209</v>
      </c>
    </row>
    <row r="220" spans="1:140">
      <c r="A220" s="287"/>
      <c r="B220" s="288" t="s">
        <v>2722</v>
      </c>
      <c r="C220" s="292" t="s">
        <v>2638</v>
      </c>
      <c r="D220" s="293">
        <v>14.15</v>
      </c>
      <c r="E220" s="293">
        <v>2.1</v>
      </c>
      <c r="F220" s="293" t="s">
        <v>2424</v>
      </c>
      <c r="G220" s="288"/>
      <c r="I220" s="293"/>
      <c r="J220" s="293"/>
      <c r="K220" s="293"/>
      <c r="EJ220" s="292" t="s">
        <v>2211</v>
      </c>
    </row>
    <row r="221" spans="1:140">
      <c r="A221" s="287"/>
      <c r="B221" s="288" t="s">
        <v>2722</v>
      </c>
      <c r="C221" s="292" t="s">
        <v>3138</v>
      </c>
      <c r="D221" s="293">
        <v>14.75</v>
      </c>
      <c r="E221" s="293">
        <v>2.1</v>
      </c>
      <c r="F221" s="288" t="s">
        <v>2412</v>
      </c>
      <c r="G221" s="288"/>
      <c r="I221" s="293"/>
      <c r="J221" s="293"/>
      <c r="K221" s="293"/>
      <c r="EJ221" s="292" t="s">
        <v>2213</v>
      </c>
    </row>
    <row r="222" spans="1:140">
      <c r="A222" s="287"/>
      <c r="B222" s="288" t="s">
        <v>2722</v>
      </c>
      <c r="C222" s="292" t="s">
        <v>2639</v>
      </c>
      <c r="D222" s="293">
        <v>14.75</v>
      </c>
      <c r="E222" s="293">
        <v>2.1</v>
      </c>
      <c r="F222" s="288" t="s">
        <v>337</v>
      </c>
      <c r="G222" s="293"/>
      <c r="I222" s="293"/>
      <c r="J222" s="288"/>
      <c r="K222" s="288"/>
      <c r="EJ222" s="292" t="s">
        <v>2216</v>
      </c>
    </row>
    <row r="223" spans="1:140">
      <c r="A223" s="287"/>
      <c r="B223" s="288" t="s">
        <v>2722</v>
      </c>
      <c r="C223" s="292" t="s">
        <v>2640</v>
      </c>
      <c r="D223" s="293">
        <v>14.98</v>
      </c>
      <c r="E223" s="293">
        <v>1.8</v>
      </c>
      <c r="F223" s="288" t="s">
        <v>347</v>
      </c>
      <c r="G223" s="293"/>
      <c r="I223" s="288"/>
      <c r="J223" s="288"/>
      <c r="K223" s="288"/>
      <c r="EJ223" s="292" t="s">
        <v>4137</v>
      </c>
    </row>
    <row r="224" spans="1:140">
      <c r="A224" s="287" t="s">
        <v>2407</v>
      </c>
      <c r="B224" s="288" t="s">
        <v>2722</v>
      </c>
      <c r="C224" s="292" t="s">
        <v>2641</v>
      </c>
      <c r="D224" s="293">
        <v>15.89</v>
      </c>
      <c r="E224" s="293">
        <v>2.2999999999999998</v>
      </c>
      <c r="F224" s="293" t="s">
        <v>2412</v>
      </c>
      <c r="G224" s="293"/>
      <c r="H224" s="296"/>
      <c r="I224" s="288"/>
      <c r="J224" s="288"/>
      <c r="K224" s="288"/>
      <c r="EJ224" s="292" t="s">
        <v>4138</v>
      </c>
    </row>
    <row r="225" spans="1:140">
      <c r="A225" s="287"/>
      <c r="B225" s="288" t="s">
        <v>2722</v>
      </c>
      <c r="C225" s="292" t="s">
        <v>463</v>
      </c>
      <c r="D225" s="293">
        <v>16.260000000000002</v>
      </c>
      <c r="E225" s="293">
        <v>1.8</v>
      </c>
      <c r="F225" s="288" t="s">
        <v>337</v>
      </c>
      <c r="G225" s="288"/>
      <c r="H225" s="296"/>
      <c r="I225" s="288"/>
      <c r="J225" s="288"/>
      <c r="K225" s="288"/>
      <c r="EJ225" s="292" t="s">
        <v>4139</v>
      </c>
    </row>
    <row r="226" spans="1:140">
      <c r="A226" s="287"/>
      <c r="B226" s="288" t="s">
        <v>2722</v>
      </c>
      <c r="C226" s="292" t="s">
        <v>464</v>
      </c>
      <c r="D226" s="288" t="s">
        <v>465</v>
      </c>
      <c r="E226" s="288" t="s">
        <v>1711</v>
      </c>
      <c r="F226" s="288" t="s">
        <v>337</v>
      </c>
      <c r="G226" s="288"/>
      <c r="H226" s="296"/>
      <c r="I226" s="288"/>
      <c r="J226" s="288"/>
      <c r="K226" s="288"/>
      <c r="EJ226" s="292" t="s">
        <v>4140</v>
      </c>
    </row>
    <row r="227" spans="1:140">
      <c r="B227" s="288" t="s">
        <v>2722</v>
      </c>
      <c r="C227" s="292" t="s">
        <v>467</v>
      </c>
      <c r="D227" s="293">
        <v>17.75</v>
      </c>
      <c r="E227" s="288" t="s">
        <v>433</v>
      </c>
      <c r="F227" s="288" t="s">
        <v>337</v>
      </c>
      <c r="G227" s="288"/>
      <c r="I227" s="288"/>
      <c r="J227" s="288"/>
      <c r="K227" s="288"/>
      <c r="EJ227" s="292" t="s">
        <v>4141</v>
      </c>
    </row>
    <row r="228" spans="1:140">
      <c r="B228" s="288" t="s">
        <v>2722</v>
      </c>
      <c r="C228" s="292" t="s">
        <v>466</v>
      </c>
      <c r="D228" s="293">
        <v>17.75</v>
      </c>
      <c r="E228" s="293">
        <v>2.6</v>
      </c>
      <c r="F228" s="288" t="s">
        <v>339</v>
      </c>
      <c r="G228" s="288"/>
      <c r="I228" s="288"/>
      <c r="J228" s="288"/>
      <c r="K228" s="288"/>
      <c r="EJ228" s="292" t="s">
        <v>3368</v>
      </c>
    </row>
    <row r="229" spans="1:140">
      <c r="A229" s="287" t="s">
        <v>2403</v>
      </c>
      <c r="B229" s="288" t="s">
        <v>2722</v>
      </c>
      <c r="C229" s="292" t="s">
        <v>789</v>
      </c>
      <c r="D229" s="293">
        <v>7.53</v>
      </c>
      <c r="E229" s="293">
        <v>1.58</v>
      </c>
      <c r="F229" s="288" t="s">
        <v>2404</v>
      </c>
      <c r="G229" s="288"/>
      <c r="I229" s="288"/>
      <c r="J229" s="288"/>
      <c r="K229" s="288"/>
      <c r="EJ229" s="292" t="s">
        <v>3370</v>
      </c>
    </row>
    <row r="230" spans="1:140">
      <c r="A230" s="287"/>
      <c r="B230" s="288" t="s">
        <v>2723</v>
      </c>
      <c r="C230" s="292" t="s">
        <v>3624</v>
      </c>
      <c r="D230" s="293">
        <v>12.62</v>
      </c>
      <c r="E230" s="293">
        <v>2.02</v>
      </c>
      <c r="F230" s="293" t="s">
        <v>2408</v>
      </c>
      <c r="G230" s="288"/>
      <c r="I230" s="288"/>
      <c r="J230" s="288"/>
      <c r="K230" s="288"/>
      <c r="EJ230" s="292" t="s">
        <v>3371</v>
      </c>
    </row>
    <row r="231" spans="1:140">
      <c r="A231" s="287"/>
      <c r="B231" s="288" t="s">
        <v>2723</v>
      </c>
      <c r="C231" s="292" t="s">
        <v>3625</v>
      </c>
      <c r="D231" s="293">
        <v>14.99</v>
      </c>
      <c r="E231" s="293">
        <v>2.39</v>
      </c>
      <c r="F231" s="293" t="s">
        <v>349</v>
      </c>
      <c r="G231" s="288"/>
      <c r="I231" s="288"/>
      <c r="J231" s="288"/>
      <c r="K231" s="288"/>
      <c r="EJ231" s="292" t="s">
        <v>3372</v>
      </c>
    </row>
    <row r="232" spans="1:140">
      <c r="A232" s="287"/>
      <c r="B232" s="288" t="s">
        <v>2724</v>
      </c>
      <c r="C232" s="292" t="s">
        <v>3626</v>
      </c>
      <c r="D232" s="293">
        <v>12</v>
      </c>
      <c r="E232" s="293">
        <v>3.28</v>
      </c>
      <c r="F232" s="293" t="s">
        <v>2409</v>
      </c>
      <c r="G232" s="288"/>
      <c r="I232" s="288"/>
      <c r="J232" s="288"/>
      <c r="K232" s="288"/>
      <c r="EJ232" s="292" t="s">
        <v>1015</v>
      </c>
    </row>
    <row r="233" spans="1:140">
      <c r="A233" s="287"/>
      <c r="B233" s="288" t="s">
        <v>2724</v>
      </c>
      <c r="C233" s="292" t="s">
        <v>3627</v>
      </c>
      <c r="D233" s="293">
        <v>7.5</v>
      </c>
      <c r="E233" s="293">
        <v>1.7</v>
      </c>
      <c r="F233" s="293" t="s">
        <v>2406</v>
      </c>
      <c r="G233" s="288"/>
      <c r="I233" s="288"/>
      <c r="J233" s="288"/>
      <c r="K233" s="288"/>
      <c r="EJ233" s="297" t="s">
        <v>1027</v>
      </c>
    </row>
    <row r="234" spans="1:140">
      <c r="A234" s="287"/>
      <c r="B234" s="288" t="s">
        <v>2724</v>
      </c>
      <c r="C234" s="292" t="s">
        <v>3628</v>
      </c>
      <c r="D234" s="293">
        <v>9.5399999999999991</v>
      </c>
      <c r="E234" s="293">
        <v>2.1800000000000002</v>
      </c>
      <c r="F234" s="293" t="s">
        <v>342</v>
      </c>
      <c r="G234" s="288"/>
      <c r="I234" s="288"/>
      <c r="J234" s="288"/>
      <c r="K234" s="288"/>
      <c r="EJ234" s="292" t="s">
        <v>1030</v>
      </c>
    </row>
    <row r="235" spans="1:140">
      <c r="A235" s="287"/>
      <c r="B235" s="288" t="s">
        <v>2725</v>
      </c>
      <c r="C235" s="292" t="s">
        <v>3629</v>
      </c>
      <c r="D235" s="293">
        <v>11.07</v>
      </c>
      <c r="E235" s="293">
        <v>1.98</v>
      </c>
      <c r="F235" s="293" t="s">
        <v>2409</v>
      </c>
      <c r="G235" s="288"/>
      <c r="I235" s="288"/>
      <c r="J235" s="288"/>
      <c r="K235" s="288"/>
      <c r="EJ235" s="292" t="s">
        <v>1031</v>
      </c>
    </row>
    <row r="236" spans="1:140">
      <c r="A236" s="287"/>
      <c r="B236" s="288" t="s">
        <v>2725</v>
      </c>
      <c r="C236" s="292" t="s">
        <v>3630</v>
      </c>
      <c r="D236" s="293">
        <v>11.51</v>
      </c>
      <c r="E236" s="293">
        <v>2.02</v>
      </c>
      <c r="F236" s="293" t="s">
        <v>2412</v>
      </c>
      <c r="G236" s="288"/>
      <c r="I236" s="288"/>
      <c r="J236" s="288"/>
      <c r="K236" s="288"/>
      <c r="EJ236" s="292" t="s">
        <v>1041</v>
      </c>
    </row>
    <row r="237" spans="1:140">
      <c r="A237" s="287"/>
      <c r="B237" s="288" t="s">
        <v>2725</v>
      </c>
      <c r="C237" s="292" t="s">
        <v>3140</v>
      </c>
      <c r="D237" s="293">
        <v>12.16</v>
      </c>
      <c r="E237" s="293">
        <v>1.99</v>
      </c>
      <c r="F237" s="293" t="s">
        <v>2410</v>
      </c>
      <c r="G237" s="288"/>
      <c r="I237" s="288"/>
      <c r="J237" s="288"/>
      <c r="K237" s="288"/>
      <c r="EJ237" s="292" t="s">
        <v>493</v>
      </c>
    </row>
    <row r="238" spans="1:140">
      <c r="A238" s="287"/>
      <c r="B238" s="288" t="s">
        <v>2725</v>
      </c>
      <c r="C238" s="292" t="s">
        <v>3141</v>
      </c>
      <c r="D238" s="293">
        <v>12.24</v>
      </c>
      <c r="E238" s="293">
        <v>2.4300000000000002</v>
      </c>
      <c r="F238" s="293" t="s">
        <v>366</v>
      </c>
      <c r="G238" s="288"/>
      <c r="I238" s="288"/>
      <c r="J238" s="288"/>
      <c r="K238" s="288"/>
      <c r="EJ238" s="292" t="s">
        <v>61</v>
      </c>
    </row>
    <row r="239" spans="1:140">
      <c r="A239" s="287"/>
      <c r="B239" s="288" t="s">
        <v>2725</v>
      </c>
      <c r="C239" s="292" t="s">
        <v>3631</v>
      </c>
      <c r="D239" s="293">
        <v>9.14</v>
      </c>
      <c r="E239" s="293">
        <v>1.52</v>
      </c>
      <c r="F239" s="293" t="s">
        <v>2431</v>
      </c>
      <c r="G239" s="288"/>
      <c r="I239" s="288"/>
      <c r="J239" s="288"/>
      <c r="K239" s="288"/>
      <c r="EJ239" s="292" t="s">
        <v>62</v>
      </c>
    </row>
    <row r="240" spans="1:140">
      <c r="A240" s="287"/>
      <c r="B240" s="288" t="s">
        <v>2725</v>
      </c>
      <c r="C240" s="292" t="s">
        <v>589</v>
      </c>
      <c r="D240" s="288" t="s">
        <v>2062</v>
      </c>
      <c r="E240" s="288" t="s">
        <v>1711</v>
      </c>
      <c r="F240" s="288" t="s">
        <v>585</v>
      </c>
      <c r="G240" s="288"/>
      <c r="I240" s="288"/>
      <c r="J240" s="288"/>
      <c r="K240" s="288"/>
      <c r="EJ240" s="292" t="s">
        <v>67</v>
      </c>
    </row>
    <row r="241" spans="1:140">
      <c r="A241" s="287"/>
      <c r="B241" s="288" t="s">
        <v>2725</v>
      </c>
      <c r="C241" s="292" t="s">
        <v>3632</v>
      </c>
      <c r="D241" s="288" t="s">
        <v>2048</v>
      </c>
      <c r="E241" s="293">
        <v>1.72</v>
      </c>
      <c r="F241" s="293" t="s">
        <v>2435</v>
      </c>
      <c r="G241" s="288"/>
      <c r="I241" s="288"/>
      <c r="J241" s="288"/>
      <c r="K241" s="288"/>
      <c r="EJ241" s="292" t="s">
        <v>68</v>
      </c>
    </row>
    <row r="242" spans="1:140">
      <c r="A242" s="287"/>
      <c r="B242" s="288" t="s">
        <v>2725</v>
      </c>
      <c r="C242" s="292" t="s">
        <v>1726</v>
      </c>
      <c r="D242" s="288" t="s">
        <v>1727</v>
      </c>
      <c r="E242" s="288" t="s">
        <v>1728</v>
      </c>
      <c r="F242" s="288" t="s">
        <v>350</v>
      </c>
      <c r="G242" s="288"/>
      <c r="I242" s="288"/>
      <c r="J242" s="288"/>
      <c r="K242" s="288"/>
      <c r="EJ242" s="292" t="s">
        <v>69</v>
      </c>
    </row>
    <row r="243" spans="1:140">
      <c r="A243" s="287"/>
      <c r="B243" s="288" t="s">
        <v>2725</v>
      </c>
      <c r="C243" s="292" t="s">
        <v>3142</v>
      </c>
      <c r="D243" s="293">
        <v>10.61</v>
      </c>
      <c r="E243" s="293">
        <v>2.0299999999999998</v>
      </c>
      <c r="F243" s="293" t="s">
        <v>347</v>
      </c>
      <c r="G243" s="288"/>
      <c r="I243" s="288"/>
      <c r="J243" s="293"/>
      <c r="K243" s="293"/>
      <c r="EJ243" s="292" t="s">
        <v>4815</v>
      </c>
    </row>
    <row r="244" spans="1:140">
      <c r="A244" s="287"/>
      <c r="B244" s="288" t="s">
        <v>2725</v>
      </c>
      <c r="C244" s="292" t="s">
        <v>3143</v>
      </c>
      <c r="D244" s="293">
        <v>10.85</v>
      </c>
      <c r="E244" s="293">
        <v>1.69</v>
      </c>
      <c r="F244" s="293" t="s">
        <v>2422</v>
      </c>
      <c r="G244" s="288"/>
      <c r="I244" s="293"/>
      <c r="J244" s="288"/>
      <c r="K244" s="288"/>
      <c r="EJ244" s="292" t="s">
        <v>496</v>
      </c>
    </row>
    <row r="245" spans="1:140">
      <c r="A245" s="287"/>
      <c r="B245" s="288" t="s">
        <v>2725</v>
      </c>
      <c r="C245" s="292" t="s">
        <v>3633</v>
      </c>
      <c r="D245" s="293">
        <v>12.06</v>
      </c>
      <c r="E245" s="293">
        <v>2.42</v>
      </c>
      <c r="F245" s="293" t="s">
        <v>2405</v>
      </c>
      <c r="G245" s="288"/>
      <c r="I245" s="288"/>
      <c r="J245" s="293"/>
      <c r="K245" s="293"/>
      <c r="EJ245" s="292" t="s">
        <v>70</v>
      </c>
    </row>
    <row r="246" spans="1:140">
      <c r="A246" s="287"/>
      <c r="B246" s="288" t="s">
        <v>2725</v>
      </c>
      <c r="C246" s="292" t="s">
        <v>3634</v>
      </c>
      <c r="D246" s="293">
        <v>12.04</v>
      </c>
      <c r="E246" s="293">
        <v>1.9</v>
      </c>
      <c r="F246" s="293" t="s">
        <v>3635</v>
      </c>
      <c r="G246" s="288"/>
      <c r="I246" s="293"/>
      <c r="J246" s="293"/>
      <c r="K246" s="293"/>
      <c r="EJ246" s="292" t="s">
        <v>71</v>
      </c>
    </row>
    <row r="247" spans="1:140">
      <c r="A247" s="287"/>
      <c r="B247" s="288" t="s">
        <v>2725</v>
      </c>
      <c r="C247" s="292" t="s">
        <v>3144</v>
      </c>
      <c r="D247" s="293">
        <v>12.1</v>
      </c>
      <c r="E247" s="293">
        <v>2.1</v>
      </c>
      <c r="F247" s="293" t="s">
        <v>2418</v>
      </c>
      <c r="G247" s="293"/>
      <c r="I247" s="293"/>
      <c r="J247" s="288"/>
      <c r="K247" s="288"/>
      <c r="EJ247" s="292" t="s">
        <v>72</v>
      </c>
    </row>
    <row r="248" spans="1:140">
      <c r="A248" s="287"/>
      <c r="B248" s="288" t="s">
        <v>2725</v>
      </c>
      <c r="C248" s="292" t="s">
        <v>3145</v>
      </c>
      <c r="D248" s="293">
        <v>12.13</v>
      </c>
      <c r="E248" s="293">
        <v>2.21</v>
      </c>
      <c r="F248" s="293" t="s">
        <v>2418</v>
      </c>
      <c r="G248" s="288"/>
      <c r="H248" s="296"/>
      <c r="I248" s="288"/>
      <c r="J248" s="288"/>
      <c r="K248" s="288"/>
      <c r="EJ248" s="292" t="s">
        <v>73</v>
      </c>
    </row>
    <row r="249" spans="1:140">
      <c r="A249" s="287"/>
      <c r="B249" s="288" t="s">
        <v>2725</v>
      </c>
      <c r="C249" s="292" t="s">
        <v>3146</v>
      </c>
      <c r="D249" s="293">
        <v>12.38</v>
      </c>
      <c r="E249" s="293">
        <v>2.35</v>
      </c>
      <c r="F249" s="293" t="s">
        <v>328</v>
      </c>
      <c r="G249" s="293"/>
      <c r="I249" s="288"/>
      <c r="J249" s="288"/>
      <c r="K249" s="288"/>
      <c r="EJ249" s="292" t="s">
        <v>74</v>
      </c>
    </row>
    <row r="250" spans="1:140">
      <c r="A250" s="287"/>
      <c r="B250" s="288" t="s">
        <v>2725</v>
      </c>
      <c r="C250" s="292" t="s">
        <v>3636</v>
      </c>
      <c r="D250" s="288" t="s">
        <v>2049</v>
      </c>
      <c r="E250" s="288" t="s">
        <v>3637</v>
      </c>
      <c r="F250" s="293" t="s">
        <v>328</v>
      </c>
      <c r="G250" s="293"/>
      <c r="H250" s="296"/>
      <c r="I250" s="288"/>
      <c r="J250" s="288"/>
      <c r="K250" s="288"/>
      <c r="EJ250" s="292" t="s">
        <v>85</v>
      </c>
    </row>
    <row r="251" spans="1:140">
      <c r="A251" s="287"/>
      <c r="B251" s="288" t="s">
        <v>2725</v>
      </c>
      <c r="C251" s="292" t="s">
        <v>3147</v>
      </c>
      <c r="D251" s="288" t="s">
        <v>2050</v>
      </c>
      <c r="E251" s="293">
        <v>2.14</v>
      </c>
      <c r="F251" s="293" t="s">
        <v>3638</v>
      </c>
      <c r="G251" s="288"/>
      <c r="H251" s="296"/>
      <c r="I251" s="288"/>
      <c r="J251" s="288"/>
      <c r="K251" s="288"/>
      <c r="EJ251" s="292" t="s">
        <v>86</v>
      </c>
    </row>
    <row r="252" spans="1:140">
      <c r="A252" s="287"/>
      <c r="B252" s="288" t="s">
        <v>2725</v>
      </c>
      <c r="C252" s="292" t="s">
        <v>3148</v>
      </c>
      <c r="D252" s="293">
        <v>13.17</v>
      </c>
      <c r="E252" s="293">
        <v>2.5</v>
      </c>
      <c r="F252" s="293" t="s">
        <v>2435</v>
      </c>
      <c r="G252" s="288"/>
      <c r="I252" s="288"/>
      <c r="J252" s="288"/>
      <c r="K252" s="288"/>
      <c r="EJ252" s="292" t="s">
        <v>94</v>
      </c>
    </row>
    <row r="253" spans="1:140">
      <c r="A253" s="287"/>
      <c r="B253" s="288" t="s">
        <v>2725</v>
      </c>
      <c r="C253" s="292" t="s">
        <v>3639</v>
      </c>
      <c r="D253" s="293">
        <v>14.65</v>
      </c>
      <c r="E253" s="293">
        <v>2.39</v>
      </c>
      <c r="F253" s="293" t="s">
        <v>3638</v>
      </c>
      <c r="G253" s="288"/>
      <c r="I253" s="288"/>
      <c r="J253" s="288"/>
      <c r="K253" s="288"/>
      <c r="EJ253" s="292" t="s">
        <v>95</v>
      </c>
    </row>
    <row r="254" spans="1:140">
      <c r="A254" s="287"/>
      <c r="B254" s="288" t="s">
        <v>2725</v>
      </c>
      <c r="C254" s="292" t="s">
        <v>3150</v>
      </c>
      <c r="D254" s="288" t="s">
        <v>2051</v>
      </c>
      <c r="E254" s="293">
        <v>1.7</v>
      </c>
      <c r="F254" s="293" t="s">
        <v>344</v>
      </c>
      <c r="G254" s="288"/>
      <c r="I254" s="288"/>
      <c r="J254" s="288"/>
      <c r="K254" s="288"/>
      <c r="EJ254" s="292" t="s">
        <v>96</v>
      </c>
    </row>
    <row r="255" spans="1:140">
      <c r="A255" s="287"/>
      <c r="B255" s="288" t="s">
        <v>2725</v>
      </c>
      <c r="C255" s="292" t="s">
        <v>3149</v>
      </c>
      <c r="D255" s="293">
        <v>9.91</v>
      </c>
      <c r="E255" s="293">
        <v>1.98</v>
      </c>
      <c r="F255" s="293" t="s">
        <v>2424</v>
      </c>
      <c r="G255" s="288"/>
      <c r="I255" s="288"/>
      <c r="J255" s="288"/>
      <c r="K255" s="288"/>
      <c r="EJ255" s="292" t="s">
        <v>97</v>
      </c>
    </row>
    <row r="256" spans="1:140">
      <c r="A256" s="287"/>
      <c r="B256" s="288" t="s">
        <v>2726</v>
      </c>
      <c r="C256" s="292" t="s">
        <v>3640</v>
      </c>
      <c r="D256" s="293">
        <v>8.61</v>
      </c>
      <c r="E256" s="293">
        <v>1.6</v>
      </c>
      <c r="F256" s="293" t="s">
        <v>355</v>
      </c>
      <c r="G256" s="288"/>
      <c r="I256" s="288"/>
      <c r="J256" s="288"/>
      <c r="K256" s="288"/>
      <c r="EJ256" s="292" t="s">
        <v>98</v>
      </c>
    </row>
    <row r="257" spans="1:140">
      <c r="A257" s="287"/>
      <c r="B257" s="288" t="s">
        <v>2726</v>
      </c>
      <c r="C257" s="292" t="s">
        <v>3641</v>
      </c>
      <c r="D257" s="293">
        <v>9.17</v>
      </c>
      <c r="E257" s="293">
        <v>1.34</v>
      </c>
      <c r="F257" s="288" t="s">
        <v>3642</v>
      </c>
      <c r="G257" s="288"/>
      <c r="I257" s="288"/>
      <c r="J257" s="288"/>
      <c r="K257" s="288"/>
      <c r="EJ257" s="292" t="s">
        <v>99</v>
      </c>
    </row>
    <row r="258" spans="1:140">
      <c r="A258" s="287"/>
      <c r="B258" s="288" t="s">
        <v>2726</v>
      </c>
      <c r="C258" s="292" t="s">
        <v>3152</v>
      </c>
      <c r="D258" s="293">
        <v>11.8</v>
      </c>
      <c r="E258" s="293">
        <v>2.02</v>
      </c>
      <c r="F258" s="293" t="s">
        <v>2415</v>
      </c>
      <c r="G258" s="288"/>
      <c r="I258" s="288"/>
      <c r="J258" s="293"/>
      <c r="K258" s="293"/>
      <c r="EJ258" s="292" t="s">
        <v>100</v>
      </c>
    </row>
    <row r="259" spans="1:140">
      <c r="A259" s="287"/>
      <c r="B259" s="288" t="s">
        <v>2726</v>
      </c>
      <c r="C259" s="292" t="s">
        <v>3643</v>
      </c>
      <c r="D259" s="293">
        <v>11.96</v>
      </c>
      <c r="E259" s="293">
        <v>1.77</v>
      </c>
      <c r="F259" s="293" t="s">
        <v>3644</v>
      </c>
      <c r="G259" s="288"/>
      <c r="I259" s="293"/>
      <c r="J259" s="288"/>
      <c r="K259" s="288"/>
      <c r="EJ259" s="292" t="s">
        <v>101</v>
      </c>
    </row>
    <row r="260" spans="1:140">
      <c r="A260" s="287"/>
      <c r="B260" s="288" t="s">
        <v>2727</v>
      </c>
      <c r="C260" s="292" t="s">
        <v>3648</v>
      </c>
      <c r="D260" s="288" t="s">
        <v>337</v>
      </c>
      <c r="E260" s="293">
        <v>1.89</v>
      </c>
      <c r="F260" s="293" t="s">
        <v>2422</v>
      </c>
      <c r="G260" s="288"/>
      <c r="I260" s="288"/>
      <c r="J260" s="293"/>
      <c r="K260" s="293"/>
      <c r="EJ260" s="292" t="s">
        <v>615</v>
      </c>
    </row>
    <row r="261" spans="1:140">
      <c r="A261" s="287"/>
      <c r="B261" s="288" t="s">
        <v>2727</v>
      </c>
      <c r="C261" s="292" t="s">
        <v>1732</v>
      </c>
      <c r="D261" s="288" t="s">
        <v>2101</v>
      </c>
      <c r="E261" s="288" t="s">
        <v>1718</v>
      </c>
      <c r="F261" s="288" t="s">
        <v>2422</v>
      </c>
      <c r="G261" s="288"/>
      <c r="I261" s="293"/>
      <c r="J261" s="293"/>
      <c r="K261" s="293"/>
      <c r="EJ261" s="292" t="s">
        <v>102</v>
      </c>
    </row>
    <row r="262" spans="1:140">
      <c r="A262" s="287"/>
      <c r="B262" s="288" t="s">
        <v>2727</v>
      </c>
      <c r="C262" s="292" t="s">
        <v>3649</v>
      </c>
      <c r="D262" s="293">
        <v>9.9600000000000009</v>
      </c>
      <c r="E262" s="293">
        <v>1.85</v>
      </c>
      <c r="F262" s="293" t="s">
        <v>2431</v>
      </c>
      <c r="G262" s="293"/>
      <c r="I262" s="293"/>
      <c r="J262" s="288"/>
      <c r="K262" s="288"/>
      <c r="EJ262" s="292" t="s">
        <v>497</v>
      </c>
    </row>
    <row r="263" spans="1:140">
      <c r="A263" s="287"/>
      <c r="B263" s="288" t="s">
        <v>2727</v>
      </c>
      <c r="C263" s="292" t="s">
        <v>3650</v>
      </c>
      <c r="D263" s="293">
        <v>10.79</v>
      </c>
      <c r="E263" s="293">
        <v>1.99</v>
      </c>
      <c r="F263" s="293" t="s">
        <v>2422</v>
      </c>
      <c r="G263" s="288"/>
      <c r="H263" s="296"/>
      <c r="I263" s="288"/>
      <c r="J263" s="288"/>
      <c r="K263" s="288"/>
      <c r="EJ263" s="292" t="s">
        <v>103</v>
      </c>
    </row>
    <row r="264" spans="1:140">
      <c r="A264" s="287"/>
      <c r="B264" s="288" t="s">
        <v>2727</v>
      </c>
      <c r="C264" s="292" t="s">
        <v>3651</v>
      </c>
      <c r="D264" s="288" t="s">
        <v>2052</v>
      </c>
      <c r="E264" s="293">
        <v>1.97</v>
      </c>
      <c r="F264" s="293" t="s">
        <v>2422</v>
      </c>
      <c r="G264" s="293"/>
      <c r="I264" s="288"/>
      <c r="J264" s="293"/>
      <c r="K264" s="293"/>
      <c r="EJ264" s="292" t="s">
        <v>104</v>
      </c>
    </row>
    <row r="265" spans="1:140">
      <c r="A265" s="287"/>
      <c r="B265" s="288" t="s">
        <v>2727</v>
      </c>
      <c r="C265" s="292" t="s">
        <v>3652</v>
      </c>
      <c r="D265" s="293">
        <v>11.31</v>
      </c>
      <c r="E265" s="293">
        <v>1.94</v>
      </c>
      <c r="F265" s="293" t="s">
        <v>2439</v>
      </c>
      <c r="G265" s="293"/>
      <c r="H265" s="296"/>
      <c r="I265" s="293"/>
      <c r="J265" s="288"/>
      <c r="K265" s="288"/>
      <c r="EJ265" s="292" t="s">
        <v>1403</v>
      </c>
    </row>
    <row r="266" spans="1:140">
      <c r="A266" s="287"/>
      <c r="B266" s="288" t="s">
        <v>2727</v>
      </c>
      <c r="C266" s="292" t="s">
        <v>3653</v>
      </c>
      <c r="D266" s="293">
        <v>11.88</v>
      </c>
      <c r="E266" s="293">
        <v>2.19</v>
      </c>
      <c r="F266" s="293" t="s">
        <v>2420</v>
      </c>
      <c r="G266" s="288"/>
      <c r="H266" s="296"/>
      <c r="I266" s="288"/>
      <c r="J266" s="288"/>
      <c r="K266" s="288"/>
      <c r="EJ266" s="292" t="s">
        <v>2713</v>
      </c>
    </row>
    <row r="267" spans="1:140">
      <c r="A267" s="287"/>
      <c r="B267" s="288" t="s">
        <v>2728</v>
      </c>
      <c r="C267" s="292" t="s">
        <v>3656</v>
      </c>
      <c r="D267" s="288" t="s">
        <v>2053</v>
      </c>
      <c r="E267" s="293">
        <v>1.64</v>
      </c>
      <c r="F267" s="293" t="s">
        <v>3638</v>
      </c>
      <c r="G267" s="288"/>
      <c r="I267" s="288"/>
      <c r="J267" s="288"/>
      <c r="K267" s="288"/>
    </row>
    <row r="268" spans="1:140">
      <c r="A268" s="287"/>
      <c r="B268" s="288" t="s">
        <v>2728</v>
      </c>
      <c r="C268" s="292" t="s">
        <v>3657</v>
      </c>
      <c r="D268" s="293">
        <v>9.1199999999999992</v>
      </c>
      <c r="E268" s="293">
        <v>1.17</v>
      </c>
      <c r="F268" s="293" t="s">
        <v>2406</v>
      </c>
      <c r="G268" s="293"/>
      <c r="I268" s="288"/>
      <c r="J268" s="288"/>
      <c r="K268" s="288"/>
    </row>
    <row r="269" spans="1:140">
      <c r="A269" s="287"/>
      <c r="B269" s="288" t="s">
        <v>2728</v>
      </c>
      <c r="C269" s="292" t="s">
        <v>3658</v>
      </c>
      <c r="D269" s="293">
        <v>11.07</v>
      </c>
      <c r="E269" s="293">
        <v>1.78</v>
      </c>
      <c r="F269" s="293" t="s">
        <v>2435</v>
      </c>
      <c r="G269" s="288"/>
      <c r="H269" s="296"/>
      <c r="I269" s="288"/>
      <c r="J269" s="288"/>
      <c r="K269" s="288"/>
    </row>
    <row r="270" spans="1:140">
      <c r="A270" s="287"/>
      <c r="B270" s="288" t="s">
        <v>2728</v>
      </c>
      <c r="C270" s="292" t="s">
        <v>3659</v>
      </c>
      <c r="D270" s="293">
        <v>11.3</v>
      </c>
      <c r="E270" s="293">
        <v>2.13</v>
      </c>
      <c r="F270" s="293" t="s">
        <v>330</v>
      </c>
      <c r="G270" s="288"/>
      <c r="I270" s="288"/>
      <c r="J270" s="288"/>
      <c r="K270" s="288"/>
    </row>
    <row r="271" spans="1:140">
      <c r="A271" s="287"/>
      <c r="B271" s="288" t="s">
        <v>2728</v>
      </c>
      <c r="C271" s="292" t="s">
        <v>3154</v>
      </c>
      <c r="D271" s="293">
        <v>11.58</v>
      </c>
      <c r="E271" s="293">
        <v>1.55</v>
      </c>
      <c r="F271" s="293" t="s">
        <v>2418</v>
      </c>
      <c r="G271" s="288"/>
      <c r="I271" s="288"/>
      <c r="J271" s="288"/>
      <c r="K271" s="288"/>
    </row>
    <row r="272" spans="1:140">
      <c r="A272" s="287"/>
      <c r="B272" s="288" t="s">
        <v>2728</v>
      </c>
      <c r="C272" s="292" t="s">
        <v>3153</v>
      </c>
      <c r="D272" s="293">
        <v>11.58</v>
      </c>
      <c r="E272" s="293">
        <v>2.09</v>
      </c>
      <c r="F272" s="293" t="s">
        <v>2418</v>
      </c>
      <c r="G272" s="288"/>
      <c r="I272" s="288"/>
      <c r="J272" s="288"/>
      <c r="K272" s="288"/>
    </row>
    <row r="273" spans="1:11">
      <c r="A273" s="287"/>
      <c r="B273" s="288" t="s">
        <v>2728</v>
      </c>
      <c r="C273" s="292" t="s">
        <v>3660</v>
      </c>
      <c r="D273" s="293">
        <v>11.75</v>
      </c>
      <c r="E273" s="293">
        <v>1.65</v>
      </c>
      <c r="F273" s="293" t="s">
        <v>364</v>
      </c>
      <c r="G273" s="288"/>
      <c r="I273" s="288"/>
      <c r="J273" s="288"/>
      <c r="K273" s="288"/>
    </row>
    <row r="274" spans="1:11">
      <c r="A274" s="287"/>
      <c r="B274" s="288" t="s">
        <v>2728</v>
      </c>
      <c r="C274" s="292" t="s">
        <v>3155</v>
      </c>
      <c r="D274" s="288" t="s">
        <v>2054</v>
      </c>
      <c r="E274" s="293">
        <v>1.83</v>
      </c>
      <c r="F274" s="293" t="s">
        <v>352</v>
      </c>
      <c r="G274" s="288"/>
      <c r="I274" s="288"/>
      <c r="J274" s="288"/>
      <c r="K274" s="288"/>
    </row>
    <row r="275" spans="1:11">
      <c r="A275" s="287"/>
      <c r="B275" s="288" t="s">
        <v>2728</v>
      </c>
      <c r="C275" s="292" t="s">
        <v>3156</v>
      </c>
      <c r="D275" s="288" t="s">
        <v>2055</v>
      </c>
      <c r="E275" s="293">
        <v>2.0299999999999998</v>
      </c>
      <c r="F275" s="293" t="s">
        <v>2406</v>
      </c>
      <c r="G275" s="288"/>
      <c r="I275" s="288"/>
      <c r="J275" s="293"/>
      <c r="K275" s="293"/>
    </row>
    <row r="276" spans="1:11">
      <c r="A276" s="287"/>
      <c r="B276" s="288" t="s">
        <v>2729</v>
      </c>
      <c r="C276" s="292" t="s">
        <v>3661</v>
      </c>
      <c r="D276" s="293">
        <v>9.73</v>
      </c>
      <c r="E276" s="293">
        <v>1.6</v>
      </c>
      <c r="F276" s="293" t="s">
        <v>2437</v>
      </c>
      <c r="G276" s="288"/>
      <c r="I276" s="293"/>
      <c r="J276" s="293"/>
      <c r="K276" s="293"/>
    </row>
    <row r="277" spans="1:11">
      <c r="A277" s="287"/>
      <c r="B277" s="288" t="s">
        <v>2729</v>
      </c>
      <c r="C277" s="292" t="s">
        <v>3158</v>
      </c>
      <c r="D277" s="288" t="s">
        <v>2056</v>
      </c>
      <c r="E277" s="293">
        <v>1.67</v>
      </c>
      <c r="F277" s="293" t="s">
        <v>3647</v>
      </c>
      <c r="G277" s="288"/>
      <c r="I277" s="293"/>
      <c r="J277" s="288"/>
      <c r="K277" s="288"/>
    </row>
    <row r="278" spans="1:11">
      <c r="A278" s="287"/>
      <c r="B278" s="288" t="s">
        <v>2729</v>
      </c>
      <c r="C278" s="292" t="s">
        <v>3157</v>
      </c>
      <c r="D278" s="293">
        <v>10.5</v>
      </c>
      <c r="E278" s="293">
        <v>1.98</v>
      </c>
      <c r="F278" s="293" t="s">
        <v>2406</v>
      </c>
      <c r="G278" s="288"/>
      <c r="I278" s="288"/>
      <c r="J278" s="288"/>
      <c r="K278" s="288"/>
    </row>
    <row r="279" spans="1:11">
      <c r="A279" s="287"/>
      <c r="B279" s="288" t="s">
        <v>2729</v>
      </c>
      <c r="C279" s="292" t="s">
        <v>3662</v>
      </c>
      <c r="D279" s="293">
        <v>10.65</v>
      </c>
      <c r="E279" s="293">
        <v>2.16</v>
      </c>
      <c r="F279" s="293" t="s">
        <v>352</v>
      </c>
      <c r="G279" s="293"/>
      <c r="I279" s="288"/>
      <c r="J279" s="288"/>
      <c r="K279" s="288"/>
    </row>
    <row r="280" spans="1:11">
      <c r="A280" s="287"/>
      <c r="B280" s="288" t="s">
        <v>2729</v>
      </c>
      <c r="C280" s="292" t="s">
        <v>3663</v>
      </c>
      <c r="D280" s="293">
        <v>10.65</v>
      </c>
      <c r="E280" s="293">
        <v>2.1</v>
      </c>
      <c r="F280" s="293" t="s">
        <v>352</v>
      </c>
      <c r="G280" s="293"/>
      <c r="H280" s="296"/>
      <c r="I280" s="288"/>
      <c r="J280" s="293"/>
      <c r="K280" s="293"/>
    </row>
    <row r="281" spans="1:11">
      <c r="A281" s="287"/>
      <c r="B281" s="288" t="s">
        <v>2729</v>
      </c>
      <c r="C281" s="292" t="s">
        <v>3664</v>
      </c>
      <c r="D281" s="293">
        <v>11.23</v>
      </c>
      <c r="E281" s="293">
        <v>1.96</v>
      </c>
      <c r="F281" s="293" t="s">
        <v>2437</v>
      </c>
      <c r="G281" s="288"/>
      <c r="H281" s="296"/>
      <c r="I281" s="293"/>
      <c r="J281" s="288"/>
      <c r="K281" s="288"/>
    </row>
    <row r="282" spans="1:11">
      <c r="A282" s="287"/>
      <c r="B282" s="288" t="s">
        <v>2729</v>
      </c>
      <c r="C282" s="292" t="s">
        <v>3665</v>
      </c>
      <c r="D282" s="293">
        <v>11.95</v>
      </c>
      <c r="E282" s="293">
        <v>2.0299999999999998</v>
      </c>
      <c r="F282" s="293" t="s">
        <v>3647</v>
      </c>
      <c r="G282" s="288"/>
      <c r="I282" s="288"/>
      <c r="J282" s="288"/>
      <c r="K282" s="288"/>
    </row>
    <row r="283" spans="1:11">
      <c r="A283" s="287"/>
      <c r="B283" s="288" t="s">
        <v>2729</v>
      </c>
      <c r="C283" s="292" t="s">
        <v>3666</v>
      </c>
      <c r="D283" s="288" t="s">
        <v>2057</v>
      </c>
      <c r="E283" s="293">
        <v>1.58</v>
      </c>
      <c r="F283" s="293" t="s">
        <v>2415</v>
      </c>
      <c r="G283" s="288"/>
      <c r="I283" s="288"/>
      <c r="J283" s="288"/>
      <c r="K283" s="288"/>
    </row>
    <row r="284" spans="1:11">
      <c r="A284" s="287"/>
      <c r="B284" s="288" t="s">
        <v>2730</v>
      </c>
      <c r="C284" s="292" t="s">
        <v>3667</v>
      </c>
      <c r="D284" s="293">
        <v>12.55</v>
      </c>
      <c r="E284" s="293">
        <v>2.0099999999999998</v>
      </c>
      <c r="F284" s="293" t="s">
        <v>3668</v>
      </c>
      <c r="G284" s="293"/>
      <c r="I284" s="288"/>
      <c r="J284" s="288"/>
      <c r="K284" s="288"/>
    </row>
    <row r="285" spans="1:11">
      <c r="A285" s="287"/>
      <c r="B285" s="288" t="s">
        <v>2730</v>
      </c>
      <c r="C285" s="292" t="s">
        <v>3669</v>
      </c>
      <c r="D285" s="288" t="s">
        <v>2045</v>
      </c>
      <c r="E285" s="288" t="s">
        <v>2058</v>
      </c>
      <c r="F285" s="293"/>
      <c r="G285" s="288"/>
      <c r="H285" s="296"/>
      <c r="I285" s="288"/>
      <c r="J285" s="288"/>
      <c r="K285" s="288"/>
    </row>
    <row r="286" spans="1:11">
      <c r="A286" s="287"/>
      <c r="B286" s="288" t="s">
        <v>2731</v>
      </c>
      <c r="C286" s="292" t="s">
        <v>3671</v>
      </c>
      <c r="D286" s="288" t="s">
        <v>2057</v>
      </c>
      <c r="E286" s="293">
        <v>1.72</v>
      </c>
      <c r="F286" s="293" t="s">
        <v>2415</v>
      </c>
      <c r="G286" s="288"/>
      <c r="I286" s="288"/>
      <c r="J286" s="293"/>
      <c r="K286" s="293"/>
    </row>
    <row r="287" spans="1:11">
      <c r="A287" s="287"/>
      <c r="B287" s="288" t="s">
        <v>2731</v>
      </c>
      <c r="C287" s="292" t="s">
        <v>3159</v>
      </c>
      <c r="D287" s="288" t="s">
        <v>2049</v>
      </c>
      <c r="E287" s="293">
        <v>1.92</v>
      </c>
      <c r="F287" s="293" t="s">
        <v>344</v>
      </c>
      <c r="G287" s="288"/>
      <c r="I287" s="288"/>
      <c r="J287" s="293"/>
      <c r="K287" s="293"/>
    </row>
    <row r="288" spans="1:11">
      <c r="A288" s="287"/>
      <c r="B288" s="288" t="s">
        <v>2731</v>
      </c>
      <c r="C288" s="292" t="s">
        <v>3672</v>
      </c>
      <c r="D288" s="293">
        <v>12.87</v>
      </c>
      <c r="E288" s="293">
        <v>2.35</v>
      </c>
      <c r="F288" s="293" t="s">
        <v>328</v>
      </c>
      <c r="G288" s="288"/>
      <c r="I288" s="293"/>
      <c r="J288" s="288"/>
      <c r="K288" s="288"/>
    </row>
    <row r="289" spans="1:16">
      <c r="A289" s="287"/>
      <c r="B289" s="288" t="s">
        <v>2731</v>
      </c>
      <c r="C289" s="292" t="s">
        <v>3161</v>
      </c>
      <c r="D289" s="293">
        <v>13.72</v>
      </c>
      <c r="E289" s="293">
        <v>1.95</v>
      </c>
      <c r="F289" s="293" t="s">
        <v>332</v>
      </c>
      <c r="G289" s="288"/>
      <c r="I289" s="288"/>
      <c r="J289" s="288"/>
      <c r="K289" s="288"/>
    </row>
    <row r="290" spans="1:16">
      <c r="A290" s="287"/>
      <c r="B290" s="288" t="s">
        <v>2731</v>
      </c>
      <c r="C290" s="292" t="s">
        <v>3160</v>
      </c>
      <c r="D290" s="293">
        <v>13.72</v>
      </c>
      <c r="E290" s="293">
        <v>2.5</v>
      </c>
      <c r="F290" s="293" t="s">
        <v>332</v>
      </c>
      <c r="G290" s="288"/>
      <c r="H290" s="296"/>
      <c r="I290" s="288"/>
      <c r="J290" s="293"/>
      <c r="K290" s="293"/>
    </row>
    <row r="291" spans="1:16">
      <c r="A291" s="287"/>
      <c r="B291" s="288" t="s">
        <v>2731</v>
      </c>
      <c r="C291" s="292" t="s">
        <v>3673</v>
      </c>
      <c r="D291" s="293">
        <v>14.53</v>
      </c>
      <c r="E291" s="293">
        <v>2.65</v>
      </c>
      <c r="F291" s="293" t="s">
        <v>3616</v>
      </c>
      <c r="G291" s="293"/>
      <c r="I291" s="293"/>
      <c r="J291" s="288"/>
      <c r="K291" s="288"/>
    </row>
    <row r="292" spans="1:16">
      <c r="A292" s="287"/>
      <c r="B292" s="288" t="s">
        <v>2732</v>
      </c>
      <c r="C292" s="292" t="s">
        <v>790</v>
      </c>
      <c r="D292" s="293">
        <v>20.420000000000002</v>
      </c>
      <c r="E292" s="293">
        <v>3</v>
      </c>
      <c r="F292" s="293" t="s">
        <v>330</v>
      </c>
      <c r="G292" s="288"/>
      <c r="H292" s="296"/>
      <c r="I292" s="288"/>
      <c r="J292" s="293"/>
      <c r="K292" s="293"/>
    </row>
    <row r="293" spans="1:16">
      <c r="A293" s="287"/>
      <c r="B293" s="288" t="s">
        <v>2732</v>
      </c>
      <c r="C293" s="292" t="s">
        <v>791</v>
      </c>
      <c r="D293" s="293">
        <v>21.63</v>
      </c>
      <c r="E293" s="293">
        <v>3.2</v>
      </c>
      <c r="F293" s="293" t="s">
        <v>366</v>
      </c>
      <c r="G293" s="288"/>
      <c r="I293" s="293"/>
      <c r="J293" s="288"/>
      <c r="K293" s="288"/>
    </row>
    <row r="294" spans="1:16">
      <c r="A294" s="287"/>
      <c r="B294" s="288" t="s">
        <v>1738</v>
      </c>
      <c r="C294" s="397" t="s">
        <v>1739</v>
      </c>
      <c r="D294" s="397">
        <v>12.18</v>
      </c>
      <c r="E294" s="398">
        <v>3</v>
      </c>
      <c r="F294" s="399" t="s">
        <v>2413</v>
      </c>
      <c r="G294" s="293"/>
      <c r="I294" s="288"/>
      <c r="J294" s="288"/>
      <c r="K294" s="288"/>
    </row>
    <row r="295" spans="1:16">
      <c r="A295" s="287"/>
      <c r="B295" s="288" t="s">
        <v>1738</v>
      </c>
      <c r="C295" s="397" t="s">
        <v>1740</v>
      </c>
      <c r="D295" s="397">
        <v>12.18</v>
      </c>
      <c r="E295" s="398">
        <v>3</v>
      </c>
      <c r="F295" s="399" t="s">
        <v>2413</v>
      </c>
      <c r="G295" s="288"/>
      <c r="H295" s="296"/>
      <c r="I295" s="288"/>
      <c r="J295" s="293"/>
      <c r="K295" s="293"/>
    </row>
    <row r="296" spans="1:16">
      <c r="A296" s="287"/>
      <c r="B296" s="288" t="s">
        <v>1738</v>
      </c>
      <c r="C296" s="397" t="s">
        <v>1741</v>
      </c>
      <c r="D296" s="397">
        <v>12.19</v>
      </c>
      <c r="E296" s="398">
        <v>3</v>
      </c>
      <c r="F296" s="399" t="s">
        <v>2413</v>
      </c>
      <c r="G296" s="293"/>
      <c r="I296" s="293"/>
      <c r="J296" s="293"/>
      <c r="K296" s="293"/>
    </row>
    <row r="297" spans="1:16">
      <c r="A297" s="287"/>
      <c r="B297" s="288" t="s">
        <v>1738</v>
      </c>
      <c r="C297" s="397" t="s">
        <v>1742</v>
      </c>
      <c r="D297" s="397">
        <v>12.18</v>
      </c>
      <c r="E297" s="398">
        <v>3</v>
      </c>
      <c r="F297" s="399" t="s">
        <v>344</v>
      </c>
      <c r="G297" s="288"/>
      <c r="H297" s="296"/>
      <c r="I297" s="293"/>
      <c r="J297" s="293"/>
      <c r="K297" s="293"/>
    </row>
    <row r="298" spans="1:16">
      <c r="A298" s="287"/>
      <c r="B298" s="288" t="s">
        <v>1738</v>
      </c>
      <c r="C298" s="397" t="s">
        <v>1743</v>
      </c>
      <c r="D298" s="397">
        <v>12.19</v>
      </c>
      <c r="E298" s="398">
        <v>2.2000000000000002</v>
      </c>
      <c r="F298" s="399" t="s">
        <v>2412</v>
      </c>
      <c r="G298" s="288"/>
      <c r="I298" s="293"/>
      <c r="J298" s="293"/>
      <c r="K298" s="293"/>
    </row>
    <row r="299" spans="1:16">
      <c r="A299" s="287"/>
      <c r="B299" s="288" t="s">
        <v>1738</v>
      </c>
      <c r="C299" s="397" t="s">
        <v>1744</v>
      </c>
      <c r="D299" s="397">
        <v>12.18</v>
      </c>
      <c r="E299" s="398">
        <v>3</v>
      </c>
      <c r="F299" s="399" t="s">
        <v>2412</v>
      </c>
      <c r="G299" s="293"/>
      <c r="I299" s="293"/>
      <c r="J299" s="288"/>
      <c r="K299" s="288"/>
    </row>
    <row r="300" spans="1:16">
      <c r="A300" s="287"/>
      <c r="B300" s="288" t="s">
        <v>2733</v>
      </c>
      <c r="C300" s="292" t="s">
        <v>3680</v>
      </c>
      <c r="D300" s="293">
        <v>11</v>
      </c>
      <c r="E300" s="293">
        <v>2.21</v>
      </c>
      <c r="F300" s="293" t="s">
        <v>366</v>
      </c>
      <c r="G300" s="293"/>
      <c r="H300" s="296"/>
      <c r="I300" s="288"/>
      <c r="J300" s="293"/>
      <c r="K300" s="293"/>
      <c r="P300" s="376"/>
    </row>
    <row r="301" spans="1:16">
      <c r="A301" s="287"/>
      <c r="B301" s="288" t="s">
        <v>2733</v>
      </c>
      <c r="C301" s="292" t="s">
        <v>3681</v>
      </c>
      <c r="D301" s="288" t="s">
        <v>2059</v>
      </c>
      <c r="E301" s="293">
        <v>1.83</v>
      </c>
      <c r="F301" s="293" t="s">
        <v>2404</v>
      </c>
      <c r="G301" s="293"/>
      <c r="H301" s="296"/>
      <c r="I301" s="293"/>
      <c r="J301" s="288"/>
      <c r="K301" s="288"/>
    </row>
    <row r="302" spans="1:16">
      <c r="A302" s="287"/>
      <c r="B302" s="288" t="s">
        <v>2733</v>
      </c>
      <c r="C302" s="292" t="s">
        <v>3682</v>
      </c>
      <c r="D302" s="293">
        <v>9.5</v>
      </c>
      <c r="E302" s="293">
        <v>2.1</v>
      </c>
      <c r="F302" s="293" t="s">
        <v>342</v>
      </c>
      <c r="G302" s="293"/>
      <c r="H302" s="296"/>
      <c r="I302" s="288"/>
      <c r="J302" s="293"/>
      <c r="K302" s="293"/>
    </row>
    <row r="303" spans="1:16">
      <c r="A303" s="287"/>
      <c r="B303" s="288" t="s">
        <v>2734</v>
      </c>
      <c r="C303" s="292" t="s">
        <v>515</v>
      </c>
      <c r="D303" s="288" t="s">
        <v>1264</v>
      </c>
      <c r="E303" s="288" t="s">
        <v>433</v>
      </c>
      <c r="F303" s="288" t="s">
        <v>2424</v>
      </c>
      <c r="G303" s="288"/>
      <c r="H303" s="296"/>
      <c r="I303" s="293"/>
      <c r="J303" s="288"/>
      <c r="K303" s="288"/>
    </row>
    <row r="304" spans="1:16">
      <c r="A304" s="287"/>
      <c r="B304" s="288" t="s">
        <v>2734</v>
      </c>
      <c r="C304" s="292" t="s">
        <v>3687</v>
      </c>
      <c r="D304" s="293">
        <v>11.4</v>
      </c>
      <c r="E304" s="293">
        <v>2.0499999999999998</v>
      </c>
      <c r="F304" s="288" t="s">
        <v>334</v>
      </c>
      <c r="G304" s="293"/>
      <c r="I304" s="288"/>
      <c r="J304" s="288"/>
      <c r="K304" s="288"/>
    </row>
    <row r="305" spans="1:11">
      <c r="A305" s="287"/>
      <c r="B305" s="288" t="s">
        <v>2734</v>
      </c>
      <c r="C305" s="292" t="s">
        <v>3685</v>
      </c>
      <c r="D305" s="288" t="s">
        <v>2061</v>
      </c>
      <c r="E305" s="293">
        <v>2.4</v>
      </c>
      <c r="F305" s="288" t="s">
        <v>2427</v>
      </c>
      <c r="G305" s="288"/>
      <c r="H305" s="296"/>
      <c r="I305" s="288"/>
      <c r="J305" s="288"/>
      <c r="K305" s="288"/>
    </row>
    <row r="306" spans="1:11">
      <c r="A306" s="287"/>
      <c r="B306" s="288" t="s">
        <v>2734</v>
      </c>
      <c r="C306" s="292" t="s">
        <v>3686</v>
      </c>
      <c r="D306" s="293">
        <v>13.72</v>
      </c>
      <c r="E306" s="293">
        <v>2.7</v>
      </c>
      <c r="F306" s="288" t="s">
        <v>2410</v>
      </c>
      <c r="G306" s="293"/>
      <c r="I306" s="288"/>
      <c r="J306" s="288"/>
      <c r="K306" s="288"/>
    </row>
    <row r="307" spans="1:11">
      <c r="A307" s="287"/>
      <c r="B307" s="288" t="s">
        <v>2734</v>
      </c>
      <c r="C307" s="292" t="s">
        <v>3688</v>
      </c>
      <c r="D307" s="293">
        <v>9.1300000000000008</v>
      </c>
      <c r="E307" s="293">
        <v>1.7</v>
      </c>
      <c r="F307" s="293" t="s">
        <v>3635</v>
      </c>
      <c r="G307" s="288"/>
      <c r="H307" s="296"/>
      <c r="I307" s="288"/>
      <c r="J307" s="288"/>
      <c r="K307" s="288"/>
    </row>
    <row r="308" spans="1:11">
      <c r="A308" s="287"/>
      <c r="B308" s="288" t="s">
        <v>2734</v>
      </c>
      <c r="C308" s="292" t="s">
        <v>511</v>
      </c>
      <c r="D308" s="288" t="s">
        <v>512</v>
      </c>
      <c r="E308" s="288" t="s">
        <v>513</v>
      </c>
      <c r="F308" s="288" t="s">
        <v>2435</v>
      </c>
      <c r="G308" s="288"/>
      <c r="I308" s="288"/>
      <c r="J308" s="288"/>
      <c r="K308" s="288"/>
    </row>
    <row r="309" spans="1:11">
      <c r="A309" s="287"/>
      <c r="B309" s="288" t="s">
        <v>2734</v>
      </c>
      <c r="C309" s="292" t="s">
        <v>514</v>
      </c>
      <c r="D309" s="288" t="s">
        <v>2043</v>
      </c>
      <c r="E309" s="288" t="s">
        <v>433</v>
      </c>
      <c r="F309" s="288" t="s">
        <v>328</v>
      </c>
      <c r="G309" s="288"/>
      <c r="I309" s="288"/>
      <c r="J309" s="288"/>
      <c r="K309" s="288"/>
    </row>
    <row r="310" spans="1:11">
      <c r="A310" s="287"/>
      <c r="B310" s="288" t="s">
        <v>2735</v>
      </c>
      <c r="C310" s="292" t="s">
        <v>3689</v>
      </c>
      <c r="D310" s="288" t="s">
        <v>2062</v>
      </c>
      <c r="E310" s="293">
        <v>1.67</v>
      </c>
      <c r="F310" s="293" t="s">
        <v>2431</v>
      </c>
      <c r="G310" s="288"/>
      <c r="I310" s="288"/>
      <c r="J310" s="288"/>
      <c r="K310" s="288"/>
    </row>
    <row r="311" spans="1:11">
      <c r="A311" s="287"/>
      <c r="B311" s="288" t="s">
        <v>2735</v>
      </c>
      <c r="C311" s="292" t="s">
        <v>3022</v>
      </c>
      <c r="D311" s="293">
        <v>9.06</v>
      </c>
      <c r="E311" s="293">
        <v>1.73</v>
      </c>
      <c r="F311" s="293" t="s">
        <v>2422</v>
      </c>
      <c r="G311" s="288"/>
      <c r="I311" s="288"/>
      <c r="J311" s="288"/>
      <c r="K311" s="288"/>
    </row>
    <row r="312" spans="1:11">
      <c r="A312" s="287"/>
      <c r="B312" s="288" t="s">
        <v>2735</v>
      </c>
      <c r="C312" s="292" t="s">
        <v>3023</v>
      </c>
      <c r="D312" s="293">
        <v>9.44</v>
      </c>
      <c r="E312" s="293">
        <v>1.67</v>
      </c>
      <c r="F312" s="293" t="s">
        <v>350</v>
      </c>
      <c r="G312" s="288"/>
      <c r="I312" s="288"/>
      <c r="J312" s="288"/>
      <c r="K312" s="288"/>
    </row>
    <row r="313" spans="1:11">
      <c r="A313" s="287"/>
      <c r="B313" s="288" t="s">
        <v>2735</v>
      </c>
      <c r="C313" s="292" t="s">
        <v>3024</v>
      </c>
      <c r="D313" s="293">
        <v>10.199999999999999</v>
      </c>
      <c r="E313" s="293">
        <v>1.82</v>
      </c>
      <c r="F313" s="293" t="s">
        <v>2422</v>
      </c>
      <c r="G313" s="288"/>
      <c r="I313" s="288"/>
      <c r="J313" s="288"/>
      <c r="K313" s="288"/>
    </row>
    <row r="314" spans="1:11">
      <c r="A314" s="287"/>
      <c r="B314" s="288" t="s">
        <v>2736</v>
      </c>
      <c r="C314" s="292" t="s">
        <v>3025</v>
      </c>
      <c r="D314" s="288" t="s">
        <v>2063</v>
      </c>
      <c r="E314" s="293">
        <v>1.7</v>
      </c>
      <c r="F314" s="293" t="s">
        <v>3668</v>
      </c>
      <c r="G314" s="288"/>
      <c r="I314" s="288"/>
      <c r="J314" s="293"/>
      <c r="K314" s="293"/>
    </row>
    <row r="315" spans="1:11">
      <c r="A315" s="287"/>
      <c r="B315" s="288" t="s">
        <v>2736</v>
      </c>
      <c r="C315" s="292" t="s">
        <v>3026</v>
      </c>
      <c r="D315" s="288" t="s">
        <v>2064</v>
      </c>
      <c r="E315" s="293">
        <v>1.98</v>
      </c>
      <c r="F315" s="293" t="s">
        <v>355</v>
      </c>
      <c r="G315" s="288"/>
      <c r="I315" s="293"/>
      <c r="J315" s="288"/>
      <c r="K315" s="288"/>
    </row>
    <row r="316" spans="1:11">
      <c r="A316" s="287"/>
      <c r="B316" s="288" t="s">
        <v>2736</v>
      </c>
      <c r="C316" s="292" t="s">
        <v>3027</v>
      </c>
      <c r="D316" s="293">
        <v>12.8</v>
      </c>
      <c r="E316" s="293">
        <v>2.3199999999999998</v>
      </c>
      <c r="F316" s="293" t="s">
        <v>2409</v>
      </c>
      <c r="G316" s="288"/>
      <c r="I316" s="288"/>
      <c r="J316" s="288"/>
      <c r="K316" s="288"/>
    </row>
    <row r="317" spans="1:11">
      <c r="A317" s="287"/>
      <c r="B317" s="288" t="s">
        <v>2737</v>
      </c>
      <c r="C317" s="292" t="s">
        <v>3028</v>
      </c>
      <c r="D317" s="288" t="s">
        <v>2065</v>
      </c>
      <c r="E317" s="293">
        <v>1.75</v>
      </c>
      <c r="F317" s="293" t="s">
        <v>350</v>
      </c>
      <c r="G317" s="288"/>
      <c r="I317" s="288"/>
      <c r="J317" s="288"/>
      <c r="K317" s="288"/>
    </row>
    <row r="318" spans="1:11">
      <c r="A318" s="287"/>
      <c r="B318" s="288" t="s">
        <v>2737</v>
      </c>
      <c r="C318" s="292" t="s">
        <v>3029</v>
      </c>
      <c r="D318" s="288" t="s">
        <v>2066</v>
      </c>
      <c r="E318" s="293">
        <v>1.88</v>
      </c>
      <c r="F318" s="293" t="s">
        <v>3638</v>
      </c>
      <c r="G318" s="293"/>
      <c r="I318" s="288"/>
      <c r="J318" s="288"/>
      <c r="K318" s="288"/>
    </row>
    <row r="319" spans="1:11">
      <c r="A319" s="287" t="s">
        <v>2407</v>
      </c>
      <c r="B319" s="288" t="s">
        <v>2738</v>
      </c>
      <c r="C319" s="292" t="s">
        <v>3030</v>
      </c>
      <c r="D319" s="293">
        <v>7.82</v>
      </c>
      <c r="E319" s="293">
        <v>1.28</v>
      </c>
      <c r="F319" s="293" t="s">
        <v>3031</v>
      </c>
      <c r="G319" s="288"/>
      <c r="H319" s="296"/>
      <c r="I319" s="288"/>
      <c r="J319" s="293"/>
      <c r="K319" s="293"/>
    </row>
    <row r="320" spans="1:11">
      <c r="A320" s="287"/>
      <c r="B320" s="288" t="s">
        <v>2738</v>
      </c>
      <c r="C320" s="292" t="s">
        <v>3032</v>
      </c>
      <c r="D320" s="293">
        <v>8.43</v>
      </c>
      <c r="E320" s="293">
        <v>1.49</v>
      </c>
      <c r="F320" s="293" t="s">
        <v>350</v>
      </c>
      <c r="G320" s="288"/>
      <c r="I320" s="293"/>
      <c r="J320" s="288"/>
      <c r="K320" s="288"/>
    </row>
    <row r="321" spans="1:11">
      <c r="A321" s="287"/>
      <c r="B321" s="288" t="s">
        <v>2738</v>
      </c>
      <c r="C321" s="292" t="s">
        <v>792</v>
      </c>
      <c r="D321" s="293">
        <v>9.66</v>
      </c>
      <c r="E321" s="293">
        <v>1.78</v>
      </c>
      <c r="F321" s="293" t="s">
        <v>3635</v>
      </c>
      <c r="G321" s="288"/>
      <c r="I321" s="288"/>
      <c r="J321" s="288"/>
      <c r="K321" s="288"/>
    </row>
    <row r="322" spans="1:11">
      <c r="A322" s="287"/>
      <c r="B322" s="288" t="s">
        <v>2738</v>
      </c>
      <c r="C322" s="292" t="s">
        <v>3033</v>
      </c>
      <c r="D322" s="293">
        <v>9.9499999999999993</v>
      </c>
      <c r="E322" s="293">
        <v>1.81</v>
      </c>
      <c r="F322" s="293" t="s">
        <v>328</v>
      </c>
      <c r="G322" s="288"/>
      <c r="I322" s="288"/>
      <c r="J322" s="288"/>
      <c r="K322" s="288"/>
    </row>
    <row r="323" spans="1:11">
      <c r="A323" s="287"/>
      <c r="B323" s="288" t="s">
        <v>2738</v>
      </c>
      <c r="C323" s="292" t="s">
        <v>3162</v>
      </c>
      <c r="D323" s="293">
        <v>10.26</v>
      </c>
      <c r="E323" s="293">
        <v>1.52</v>
      </c>
      <c r="F323" s="293" t="s">
        <v>2418</v>
      </c>
      <c r="G323" s="293"/>
      <c r="I323" s="288"/>
      <c r="J323" s="288"/>
      <c r="K323" s="288"/>
    </row>
    <row r="324" spans="1:11">
      <c r="A324" s="287"/>
      <c r="B324" s="288" t="s">
        <v>2738</v>
      </c>
      <c r="C324" s="292" t="s">
        <v>3163</v>
      </c>
      <c r="D324" s="293">
        <v>10.26</v>
      </c>
      <c r="E324" s="293">
        <v>1.97</v>
      </c>
      <c r="F324" s="293" t="s">
        <v>2418</v>
      </c>
      <c r="G324" s="288"/>
      <c r="H324" s="296"/>
      <c r="I324" s="288"/>
      <c r="J324" s="288"/>
      <c r="K324" s="288"/>
    </row>
    <row r="325" spans="1:11">
      <c r="A325" s="287" t="s">
        <v>2407</v>
      </c>
      <c r="B325" s="288" t="s">
        <v>2738</v>
      </c>
      <c r="C325" s="292" t="s">
        <v>3034</v>
      </c>
      <c r="D325" s="293">
        <v>10.83</v>
      </c>
      <c r="E325" s="293">
        <v>2.12</v>
      </c>
      <c r="F325" s="293" t="s">
        <v>2422</v>
      </c>
      <c r="G325" s="288"/>
      <c r="I325" s="288"/>
      <c r="J325" s="288"/>
      <c r="K325" s="288"/>
    </row>
    <row r="326" spans="1:11">
      <c r="A326" s="287"/>
      <c r="B326" s="288" t="s">
        <v>2738</v>
      </c>
      <c r="C326" s="292" t="s">
        <v>3035</v>
      </c>
      <c r="D326" s="293">
        <v>13.06</v>
      </c>
      <c r="E326" s="293">
        <v>2.39</v>
      </c>
      <c r="F326" s="293" t="s">
        <v>350</v>
      </c>
      <c r="G326" s="288"/>
      <c r="I326" s="288"/>
      <c r="J326" s="288"/>
      <c r="K326" s="288"/>
    </row>
    <row r="327" spans="1:11">
      <c r="A327" s="287"/>
      <c r="B327" s="288" t="s">
        <v>2738</v>
      </c>
      <c r="C327" s="292" t="s">
        <v>793</v>
      </c>
      <c r="D327" s="293">
        <v>10.26</v>
      </c>
      <c r="E327" s="293">
        <v>2.0099999999999998</v>
      </c>
      <c r="F327" s="293" t="s">
        <v>2418</v>
      </c>
      <c r="G327" s="288"/>
      <c r="I327" s="288"/>
      <c r="J327" s="293"/>
      <c r="K327" s="293"/>
    </row>
    <row r="328" spans="1:11">
      <c r="A328" s="287"/>
      <c r="B328" s="288" t="s">
        <v>2740</v>
      </c>
      <c r="C328" s="292" t="s">
        <v>3038</v>
      </c>
      <c r="D328" s="293">
        <v>11.99</v>
      </c>
      <c r="E328" s="293">
        <v>2.58</v>
      </c>
      <c r="F328" s="293" t="s">
        <v>342</v>
      </c>
      <c r="G328" s="288"/>
      <c r="I328" s="293"/>
      <c r="J328" s="288"/>
      <c r="K328" s="288"/>
    </row>
    <row r="329" spans="1:11">
      <c r="A329" s="287"/>
      <c r="B329" s="288" t="s">
        <v>2740</v>
      </c>
      <c r="C329" s="292" t="s">
        <v>3039</v>
      </c>
      <c r="D329" s="293">
        <v>15.22</v>
      </c>
      <c r="E329" s="293">
        <v>3.6</v>
      </c>
      <c r="F329" s="293" t="s">
        <v>344</v>
      </c>
      <c r="G329" s="288"/>
      <c r="I329" s="288"/>
      <c r="J329" s="288"/>
      <c r="K329" s="288"/>
    </row>
    <row r="330" spans="1:11">
      <c r="A330" s="287"/>
      <c r="B330" s="288" t="s">
        <v>2739</v>
      </c>
      <c r="C330" s="292" t="s">
        <v>3040</v>
      </c>
      <c r="D330" s="293">
        <v>10.65</v>
      </c>
      <c r="E330" s="293">
        <v>2.42</v>
      </c>
      <c r="F330" s="293" t="s">
        <v>3647</v>
      </c>
      <c r="G330" s="288"/>
      <c r="I330" s="288"/>
      <c r="J330" s="293"/>
      <c r="K330" s="293"/>
    </row>
    <row r="331" spans="1:11">
      <c r="A331" s="287"/>
      <c r="B331" s="288" t="s">
        <v>2739</v>
      </c>
      <c r="C331" s="292" t="s">
        <v>3041</v>
      </c>
      <c r="D331" s="293">
        <v>7.71</v>
      </c>
      <c r="E331" s="293">
        <v>1.8</v>
      </c>
      <c r="F331" s="293" t="s">
        <v>366</v>
      </c>
      <c r="G331" s="293"/>
      <c r="I331" s="293"/>
      <c r="J331" s="288"/>
      <c r="K331" s="288"/>
    </row>
    <row r="332" spans="1:11">
      <c r="A332" s="287"/>
      <c r="B332" s="288" t="s">
        <v>2739</v>
      </c>
      <c r="C332" s="292" t="s">
        <v>3042</v>
      </c>
      <c r="D332" s="293">
        <v>7.9</v>
      </c>
      <c r="E332" s="293">
        <v>1.86</v>
      </c>
      <c r="F332" s="293">
        <v>7</v>
      </c>
      <c r="G332" s="288"/>
      <c r="H332" s="296"/>
      <c r="I332" s="288"/>
      <c r="J332" s="293"/>
      <c r="K332" s="293"/>
    </row>
    <row r="333" spans="1:11">
      <c r="A333" s="287"/>
      <c r="B333" s="288" t="s">
        <v>2739</v>
      </c>
      <c r="C333" s="292" t="s">
        <v>3043</v>
      </c>
      <c r="D333" s="293">
        <v>8.82</v>
      </c>
      <c r="E333" s="293">
        <v>1.98</v>
      </c>
      <c r="F333" s="293" t="s">
        <v>2412</v>
      </c>
      <c r="G333" s="288"/>
      <c r="I333" s="293"/>
      <c r="J333" s="293"/>
      <c r="K333" s="293"/>
    </row>
    <row r="334" spans="1:11">
      <c r="A334" s="287"/>
      <c r="B334" s="288" t="s">
        <v>2739</v>
      </c>
      <c r="C334" s="292" t="s">
        <v>3044</v>
      </c>
      <c r="D334" s="288" t="s">
        <v>2067</v>
      </c>
      <c r="E334" s="293">
        <v>1.98</v>
      </c>
      <c r="F334" s="288" t="s">
        <v>334</v>
      </c>
      <c r="G334" s="293"/>
      <c r="I334" s="293"/>
      <c r="J334" s="288"/>
      <c r="K334" s="288"/>
    </row>
    <row r="335" spans="1:11">
      <c r="A335" s="287"/>
      <c r="B335" s="288" t="s">
        <v>2739</v>
      </c>
      <c r="C335" s="292" t="s">
        <v>3045</v>
      </c>
      <c r="D335" s="293">
        <v>10</v>
      </c>
      <c r="E335" s="293">
        <v>2.2000000000000002</v>
      </c>
      <c r="F335" s="293" t="s">
        <v>332</v>
      </c>
      <c r="G335" s="288"/>
      <c r="H335" s="296"/>
      <c r="I335" s="288"/>
      <c r="J335" s="288"/>
      <c r="K335" s="288"/>
    </row>
    <row r="336" spans="1:11">
      <c r="A336" s="287"/>
      <c r="B336" s="288" t="s">
        <v>2739</v>
      </c>
      <c r="C336" s="292" t="s">
        <v>3046</v>
      </c>
      <c r="D336" s="293">
        <v>10.029999999999999</v>
      </c>
      <c r="E336" s="293">
        <v>2.23</v>
      </c>
      <c r="F336" s="288" t="s">
        <v>2413</v>
      </c>
      <c r="G336" s="293"/>
      <c r="I336" s="288"/>
      <c r="J336" s="288"/>
      <c r="K336" s="288"/>
    </row>
    <row r="337" spans="1:11">
      <c r="A337" s="287"/>
      <c r="B337" s="288" t="s">
        <v>2742</v>
      </c>
      <c r="C337" s="292" t="s">
        <v>3052</v>
      </c>
      <c r="D337" s="293">
        <v>10.11</v>
      </c>
      <c r="E337" s="293">
        <v>1.95</v>
      </c>
      <c r="F337" s="293" t="s">
        <v>2435</v>
      </c>
      <c r="G337" s="293"/>
      <c r="H337" s="296"/>
      <c r="I337" s="288"/>
      <c r="J337" s="288"/>
      <c r="K337" s="288"/>
    </row>
    <row r="338" spans="1:11">
      <c r="A338" s="287"/>
      <c r="B338" s="288" t="s">
        <v>2742</v>
      </c>
      <c r="C338" s="292" t="s">
        <v>3053</v>
      </c>
      <c r="D338" s="293">
        <v>10.38</v>
      </c>
      <c r="E338" s="293">
        <v>1.86</v>
      </c>
      <c r="F338" s="293" t="s">
        <v>3616</v>
      </c>
      <c r="G338" s="288"/>
      <c r="H338" s="296"/>
      <c r="I338" s="288"/>
      <c r="J338" s="288"/>
      <c r="K338" s="288"/>
    </row>
    <row r="339" spans="1:11">
      <c r="A339" s="287"/>
      <c r="B339" s="288" t="s">
        <v>2743</v>
      </c>
      <c r="C339" s="292" t="s">
        <v>3054</v>
      </c>
      <c r="D339" s="293">
        <v>8.5</v>
      </c>
      <c r="E339" s="293">
        <v>1.35</v>
      </c>
      <c r="F339" s="293" t="s">
        <v>352</v>
      </c>
      <c r="G339" s="288"/>
      <c r="I339" s="288"/>
      <c r="J339" s="288"/>
      <c r="K339" s="288"/>
    </row>
    <row r="340" spans="1:11">
      <c r="A340" s="287"/>
      <c r="B340" s="288" t="s">
        <v>2743</v>
      </c>
      <c r="C340" s="292" t="s">
        <v>621</v>
      </c>
      <c r="D340" s="288" t="s">
        <v>2068</v>
      </c>
      <c r="E340" s="293">
        <v>1.64</v>
      </c>
      <c r="F340" s="293" t="s">
        <v>2408</v>
      </c>
      <c r="G340" s="288"/>
      <c r="I340" s="288"/>
      <c r="J340" s="293"/>
      <c r="K340" s="293"/>
    </row>
    <row r="341" spans="1:11">
      <c r="A341" s="287"/>
      <c r="B341" s="288" t="s">
        <v>2743</v>
      </c>
      <c r="C341" s="292" t="s">
        <v>620</v>
      </c>
      <c r="D341" s="288" t="s">
        <v>2068</v>
      </c>
      <c r="E341" s="293">
        <v>1.8</v>
      </c>
      <c r="F341" s="293" t="s">
        <v>2408</v>
      </c>
      <c r="G341" s="288"/>
      <c r="I341" s="293"/>
      <c r="J341" s="293"/>
      <c r="K341" s="293"/>
    </row>
    <row r="342" spans="1:11">
      <c r="A342" s="287"/>
      <c r="B342" s="288" t="s">
        <v>2743</v>
      </c>
      <c r="C342" s="292" t="s">
        <v>3055</v>
      </c>
      <c r="D342" s="288" t="s">
        <v>2069</v>
      </c>
      <c r="E342" s="293">
        <v>1.45</v>
      </c>
      <c r="F342" s="293" t="s">
        <v>349</v>
      </c>
      <c r="G342" s="288"/>
      <c r="I342" s="293"/>
      <c r="J342" s="293"/>
      <c r="K342" s="293"/>
    </row>
    <row r="343" spans="1:11">
      <c r="A343" s="287"/>
      <c r="B343" s="288" t="s">
        <v>2743</v>
      </c>
      <c r="C343" s="292" t="s">
        <v>3056</v>
      </c>
      <c r="D343" s="288" t="s">
        <v>2070</v>
      </c>
      <c r="E343" s="293">
        <v>1.52</v>
      </c>
      <c r="F343" s="293" t="s">
        <v>376</v>
      </c>
      <c r="G343" s="288"/>
      <c r="I343" s="293"/>
      <c r="J343" s="293"/>
      <c r="K343" s="293"/>
    </row>
    <row r="344" spans="1:11">
      <c r="A344" s="287"/>
      <c r="B344" s="288" t="s">
        <v>2743</v>
      </c>
      <c r="C344" s="292" t="s">
        <v>3057</v>
      </c>
      <c r="D344" s="293">
        <v>9.99</v>
      </c>
      <c r="E344" s="293">
        <v>1.76</v>
      </c>
      <c r="F344" s="293" t="s">
        <v>342</v>
      </c>
      <c r="G344" s="293"/>
      <c r="I344" s="293"/>
      <c r="J344" s="288"/>
      <c r="K344" s="288"/>
    </row>
    <row r="345" spans="1:11">
      <c r="A345" s="287"/>
      <c r="B345" s="288" t="s">
        <v>2743</v>
      </c>
      <c r="C345" s="292" t="s">
        <v>3058</v>
      </c>
      <c r="D345" s="288" t="s">
        <v>2071</v>
      </c>
      <c r="E345" s="293">
        <v>1.76</v>
      </c>
      <c r="F345" s="293" t="s">
        <v>3616</v>
      </c>
      <c r="G345" s="293"/>
      <c r="H345" s="296"/>
      <c r="I345" s="288"/>
      <c r="J345" s="288"/>
      <c r="K345" s="288"/>
    </row>
    <row r="346" spans="1:11">
      <c r="A346" s="287"/>
      <c r="B346" s="288" t="s">
        <v>2743</v>
      </c>
      <c r="C346" s="292" t="s">
        <v>3059</v>
      </c>
      <c r="D346" s="293">
        <v>10.210000000000001</v>
      </c>
      <c r="E346" s="293">
        <v>1.9</v>
      </c>
      <c r="F346" s="293" t="s">
        <v>2424</v>
      </c>
      <c r="G346" s="293"/>
      <c r="H346" s="296"/>
      <c r="I346" s="288"/>
      <c r="J346" s="288"/>
      <c r="K346" s="288"/>
    </row>
    <row r="347" spans="1:11">
      <c r="A347" s="287"/>
      <c r="B347" s="288" t="s">
        <v>2743</v>
      </c>
      <c r="C347" s="292" t="s">
        <v>3060</v>
      </c>
      <c r="D347" s="293">
        <v>10.51</v>
      </c>
      <c r="E347" s="293">
        <v>1.95</v>
      </c>
      <c r="F347" s="288" t="s">
        <v>2427</v>
      </c>
      <c r="G347" s="293"/>
      <c r="H347" s="296"/>
      <c r="I347" s="288"/>
      <c r="J347" s="288"/>
      <c r="K347" s="288"/>
    </row>
    <row r="348" spans="1:11">
      <c r="A348" s="287"/>
      <c r="B348" s="288" t="s">
        <v>2743</v>
      </c>
      <c r="C348" s="292" t="s">
        <v>3061</v>
      </c>
      <c r="D348" s="293">
        <v>10.5</v>
      </c>
      <c r="E348" s="293">
        <v>1.9</v>
      </c>
      <c r="F348" s="293" t="s">
        <v>376</v>
      </c>
      <c r="G348" s="288"/>
      <c r="H348" s="296"/>
      <c r="I348" s="288"/>
      <c r="J348" s="288"/>
      <c r="K348" s="288"/>
    </row>
    <row r="349" spans="1:11">
      <c r="A349" s="287"/>
      <c r="B349" s="288" t="s">
        <v>2743</v>
      </c>
      <c r="C349" s="292" t="s">
        <v>3062</v>
      </c>
      <c r="D349" s="293">
        <v>10.95</v>
      </c>
      <c r="E349" s="293">
        <v>1.95</v>
      </c>
      <c r="F349" s="293" t="s">
        <v>366</v>
      </c>
      <c r="G349" s="288"/>
      <c r="I349" s="288"/>
      <c r="J349" s="288"/>
      <c r="K349" s="288"/>
    </row>
    <row r="350" spans="1:11">
      <c r="A350" s="287"/>
      <c r="B350" s="288" t="s">
        <v>2743</v>
      </c>
      <c r="C350" s="292" t="s">
        <v>3063</v>
      </c>
      <c r="D350" s="293">
        <v>10.8</v>
      </c>
      <c r="E350" s="293">
        <v>1.83</v>
      </c>
      <c r="F350" s="293" t="s">
        <v>352</v>
      </c>
      <c r="G350" s="288"/>
      <c r="I350" s="288"/>
      <c r="J350" s="288"/>
      <c r="K350" s="288"/>
    </row>
    <row r="351" spans="1:11">
      <c r="A351" s="287"/>
      <c r="B351" s="288" t="s">
        <v>2743</v>
      </c>
      <c r="C351" s="292" t="s">
        <v>3064</v>
      </c>
      <c r="D351" s="288" t="s">
        <v>2072</v>
      </c>
      <c r="E351" s="293">
        <v>1.99</v>
      </c>
      <c r="F351" s="293" t="s">
        <v>2442</v>
      </c>
      <c r="G351" s="288"/>
      <c r="I351" s="288"/>
      <c r="J351" s="288"/>
      <c r="K351" s="288"/>
    </row>
    <row r="352" spans="1:11">
      <c r="A352" s="287"/>
      <c r="B352" s="288" t="s">
        <v>2743</v>
      </c>
      <c r="C352" s="292" t="s">
        <v>3065</v>
      </c>
      <c r="D352" s="288" t="s">
        <v>2072</v>
      </c>
      <c r="E352" s="293">
        <v>2.04</v>
      </c>
      <c r="F352" s="293" t="s">
        <v>2442</v>
      </c>
      <c r="G352" s="288"/>
      <c r="I352" s="288"/>
      <c r="J352" s="288"/>
      <c r="K352" s="288"/>
    </row>
    <row r="353" spans="1:11">
      <c r="A353" s="287"/>
      <c r="B353" s="288" t="s">
        <v>2743</v>
      </c>
      <c r="C353" s="292" t="s">
        <v>3066</v>
      </c>
      <c r="D353" s="293">
        <v>10.95</v>
      </c>
      <c r="E353" s="293">
        <v>1.95</v>
      </c>
      <c r="F353" s="293" t="s">
        <v>366</v>
      </c>
      <c r="G353" s="288"/>
      <c r="I353" s="288"/>
      <c r="J353" s="288"/>
      <c r="K353" s="288"/>
    </row>
    <row r="354" spans="1:11">
      <c r="A354" s="287"/>
      <c r="B354" s="288" t="s">
        <v>2743</v>
      </c>
      <c r="C354" s="292" t="s">
        <v>3067</v>
      </c>
      <c r="D354" s="293">
        <v>11.01</v>
      </c>
      <c r="E354" s="293">
        <v>1.86</v>
      </c>
      <c r="F354" s="293" t="s">
        <v>2405</v>
      </c>
      <c r="G354" s="288"/>
      <c r="I354" s="288"/>
      <c r="J354" s="288"/>
      <c r="K354" s="288"/>
    </row>
    <row r="355" spans="1:11">
      <c r="A355" s="287"/>
      <c r="B355" s="288" t="s">
        <v>2743</v>
      </c>
      <c r="C355" s="292" t="s">
        <v>3068</v>
      </c>
      <c r="D355" s="293">
        <v>11.01</v>
      </c>
      <c r="E355" s="293">
        <v>1.81</v>
      </c>
      <c r="F355" s="293" t="s">
        <v>2405</v>
      </c>
      <c r="G355" s="288"/>
      <c r="I355" s="288"/>
      <c r="J355" s="288"/>
      <c r="K355" s="288"/>
    </row>
    <row r="356" spans="1:11">
      <c r="A356" s="287"/>
      <c r="B356" s="288" t="s">
        <v>2743</v>
      </c>
      <c r="C356" s="292" t="s">
        <v>622</v>
      </c>
      <c r="D356" s="293">
        <v>11.41</v>
      </c>
      <c r="E356" s="293">
        <v>2.0699999999999998</v>
      </c>
      <c r="F356" s="293" t="s">
        <v>3069</v>
      </c>
      <c r="G356" s="288"/>
      <c r="H356" s="296"/>
      <c r="I356" s="288"/>
      <c r="J356" s="288"/>
      <c r="K356" s="288"/>
    </row>
    <row r="357" spans="1:11">
      <c r="A357" s="287"/>
      <c r="B357" s="288" t="s">
        <v>2743</v>
      </c>
      <c r="C357" s="292" t="s">
        <v>623</v>
      </c>
      <c r="D357" s="293">
        <v>11.41</v>
      </c>
      <c r="E357" s="293">
        <v>1.9</v>
      </c>
      <c r="F357" s="288" t="s">
        <v>3069</v>
      </c>
      <c r="G357" s="288"/>
      <c r="I357" s="288"/>
      <c r="J357" s="288"/>
      <c r="K357" s="288"/>
    </row>
    <row r="358" spans="1:11">
      <c r="A358" s="287"/>
      <c r="B358" s="288" t="s">
        <v>2743</v>
      </c>
      <c r="C358" s="292" t="s">
        <v>604</v>
      </c>
      <c r="D358" s="288" t="s">
        <v>605</v>
      </c>
      <c r="E358" s="288" t="s">
        <v>431</v>
      </c>
      <c r="F358" s="288" t="s">
        <v>1154</v>
      </c>
      <c r="G358" s="288"/>
      <c r="I358" s="288"/>
      <c r="J358" s="288"/>
      <c r="K358" s="288"/>
    </row>
    <row r="359" spans="1:11">
      <c r="A359" s="287"/>
      <c r="B359" s="288" t="s">
        <v>2743</v>
      </c>
      <c r="C359" s="292" t="s">
        <v>624</v>
      </c>
      <c r="D359" s="288" t="s">
        <v>2073</v>
      </c>
      <c r="E359" s="293">
        <v>1.98</v>
      </c>
      <c r="F359" s="293" t="s">
        <v>364</v>
      </c>
      <c r="G359" s="288"/>
      <c r="I359" s="288"/>
      <c r="J359" s="288"/>
      <c r="K359" s="288"/>
    </row>
    <row r="360" spans="1:11">
      <c r="A360" s="287"/>
      <c r="B360" s="288" t="s">
        <v>2743</v>
      </c>
      <c r="C360" s="292" t="s">
        <v>625</v>
      </c>
      <c r="D360" s="288" t="s">
        <v>2073</v>
      </c>
      <c r="E360" s="293">
        <v>2.36</v>
      </c>
      <c r="F360" s="293" t="s">
        <v>364</v>
      </c>
      <c r="G360" s="288"/>
      <c r="I360" s="288"/>
      <c r="J360" s="288"/>
      <c r="K360" s="288"/>
    </row>
    <row r="361" spans="1:11">
      <c r="A361" s="287"/>
      <c r="B361" s="288" t="s">
        <v>2743</v>
      </c>
      <c r="C361" s="292" t="s">
        <v>3070</v>
      </c>
      <c r="D361" s="293">
        <v>11.78</v>
      </c>
      <c r="E361" s="293">
        <v>1.93</v>
      </c>
      <c r="F361" s="293" t="s">
        <v>347</v>
      </c>
      <c r="G361" s="288"/>
      <c r="I361" s="288"/>
      <c r="J361" s="293"/>
      <c r="K361" s="293"/>
    </row>
    <row r="362" spans="1:11">
      <c r="A362" s="287"/>
      <c r="B362" s="288" t="s">
        <v>2743</v>
      </c>
      <c r="C362" s="292" t="s">
        <v>626</v>
      </c>
      <c r="D362" s="288" t="s">
        <v>2043</v>
      </c>
      <c r="E362" s="293">
        <v>1.98</v>
      </c>
      <c r="F362" s="293" t="s">
        <v>364</v>
      </c>
      <c r="G362" s="288"/>
      <c r="I362" s="293"/>
      <c r="J362" s="288"/>
      <c r="K362" s="288"/>
    </row>
    <row r="363" spans="1:11">
      <c r="A363" s="287"/>
      <c r="B363" s="288" t="s">
        <v>2743</v>
      </c>
      <c r="C363" s="292" t="s">
        <v>627</v>
      </c>
      <c r="D363" s="288" t="s">
        <v>2043</v>
      </c>
      <c r="E363" s="293">
        <v>2.35</v>
      </c>
      <c r="F363" s="293" t="s">
        <v>364</v>
      </c>
      <c r="G363" s="288"/>
      <c r="I363" s="288"/>
      <c r="J363" s="288"/>
      <c r="K363" s="288"/>
    </row>
    <row r="364" spans="1:11">
      <c r="A364" s="287"/>
      <c r="B364" s="288" t="s">
        <v>2743</v>
      </c>
      <c r="C364" s="292" t="s">
        <v>628</v>
      </c>
      <c r="D364" s="288" t="s">
        <v>2074</v>
      </c>
      <c r="E364" s="293">
        <v>1.95</v>
      </c>
      <c r="F364" s="293" t="s">
        <v>2404</v>
      </c>
      <c r="G364" s="288"/>
      <c r="I364" s="288"/>
      <c r="J364" s="288"/>
      <c r="K364" s="288"/>
    </row>
    <row r="365" spans="1:11">
      <c r="A365" s="287"/>
      <c r="B365" s="288" t="s">
        <v>2743</v>
      </c>
      <c r="C365" s="292" t="s">
        <v>629</v>
      </c>
      <c r="D365" s="288" t="s">
        <v>2075</v>
      </c>
      <c r="E365" s="293">
        <v>2.0299999999999998</v>
      </c>
      <c r="F365" s="293" t="s">
        <v>2404</v>
      </c>
      <c r="G365" s="288"/>
      <c r="I365" s="288"/>
      <c r="J365" s="288"/>
      <c r="K365" s="288"/>
    </row>
    <row r="366" spans="1:11">
      <c r="A366" s="287"/>
      <c r="B366" s="288" t="s">
        <v>2743</v>
      </c>
      <c r="C366" s="292" t="s">
        <v>630</v>
      </c>
      <c r="D366" s="288" t="s">
        <v>2049</v>
      </c>
      <c r="E366" s="293">
        <v>2.4</v>
      </c>
      <c r="F366" s="288" t="s">
        <v>339</v>
      </c>
      <c r="G366" s="293"/>
      <c r="H366" s="296"/>
      <c r="I366" s="288"/>
      <c r="J366" s="293"/>
      <c r="K366" s="293"/>
    </row>
    <row r="367" spans="1:11">
      <c r="A367" s="287"/>
      <c r="B367" s="288" t="s">
        <v>2743</v>
      </c>
      <c r="C367" s="292" t="s">
        <v>3071</v>
      </c>
      <c r="D367" s="293">
        <v>13.2</v>
      </c>
      <c r="E367" s="293">
        <v>2.0099999999999998</v>
      </c>
      <c r="F367" s="293" t="s">
        <v>330</v>
      </c>
      <c r="G367" s="288"/>
      <c r="I367" s="293"/>
      <c r="J367" s="293"/>
      <c r="K367" s="293"/>
    </row>
    <row r="368" spans="1:11">
      <c r="A368" s="287"/>
      <c r="B368" s="288" t="s">
        <v>2743</v>
      </c>
      <c r="C368" s="292" t="s">
        <v>631</v>
      </c>
      <c r="D368" s="288" t="s">
        <v>2076</v>
      </c>
      <c r="E368" s="293">
        <v>2.2000000000000002</v>
      </c>
      <c r="F368" s="288" t="s">
        <v>2427</v>
      </c>
      <c r="G368" s="288"/>
      <c r="I368" s="293"/>
      <c r="J368" s="293"/>
      <c r="K368" s="293"/>
    </row>
    <row r="369" spans="1:11">
      <c r="A369" s="287"/>
      <c r="B369" s="288" t="s">
        <v>2743</v>
      </c>
      <c r="C369" s="292" t="s">
        <v>3072</v>
      </c>
      <c r="D369" s="293">
        <v>14.28</v>
      </c>
      <c r="E369" s="293">
        <v>2.4</v>
      </c>
      <c r="F369" s="293" t="s">
        <v>344</v>
      </c>
      <c r="G369" s="288"/>
      <c r="I369" s="293"/>
      <c r="J369" s="288"/>
      <c r="K369" s="288"/>
    </row>
    <row r="370" spans="1:11">
      <c r="A370" s="287"/>
      <c r="B370" s="288" t="s">
        <v>2744</v>
      </c>
      <c r="C370" s="292" t="s">
        <v>3079</v>
      </c>
      <c r="D370" s="293">
        <v>8.2200000000000006</v>
      </c>
      <c r="E370" s="293">
        <v>1.42</v>
      </c>
      <c r="F370" s="293" t="s">
        <v>2418</v>
      </c>
      <c r="G370" s="288"/>
      <c r="I370" s="288"/>
      <c r="J370" s="288"/>
      <c r="K370" s="288"/>
    </row>
    <row r="371" spans="1:11">
      <c r="A371" s="287"/>
      <c r="B371" s="288" t="s">
        <v>2744</v>
      </c>
      <c r="C371" s="292" t="s">
        <v>3080</v>
      </c>
      <c r="D371" s="293">
        <v>9.01</v>
      </c>
      <c r="E371" s="293">
        <v>1.55</v>
      </c>
      <c r="F371" s="293" t="s">
        <v>2408</v>
      </c>
      <c r="G371" s="293"/>
      <c r="H371" s="296"/>
      <c r="I371" s="288"/>
      <c r="J371" s="288"/>
      <c r="K371" s="288"/>
    </row>
    <row r="372" spans="1:11">
      <c r="A372" s="287"/>
      <c r="B372" s="288" t="s">
        <v>2744</v>
      </c>
      <c r="C372" s="292" t="s">
        <v>3081</v>
      </c>
      <c r="D372" s="293">
        <v>9.64</v>
      </c>
      <c r="E372" s="293">
        <v>1.7</v>
      </c>
      <c r="F372" s="293" t="s">
        <v>2408</v>
      </c>
      <c r="G372" s="293"/>
      <c r="H372" s="296"/>
      <c r="I372" s="288"/>
      <c r="J372" s="288"/>
      <c r="K372" s="288"/>
    </row>
    <row r="373" spans="1:11">
      <c r="A373" s="287"/>
      <c r="B373" s="288" t="s">
        <v>2744</v>
      </c>
      <c r="C373" s="292" t="s">
        <v>3082</v>
      </c>
      <c r="D373" s="293">
        <v>9.85</v>
      </c>
      <c r="E373" s="293">
        <v>1.55</v>
      </c>
      <c r="F373" s="288" t="s">
        <v>2412</v>
      </c>
      <c r="G373" s="293"/>
      <c r="H373" s="296"/>
      <c r="I373" s="288"/>
      <c r="J373" s="288"/>
      <c r="K373" s="288"/>
    </row>
    <row r="374" spans="1:11">
      <c r="A374" s="287"/>
      <c r="B374" s="288" t="s">
        <v>2744</v>
      </c>
      <c r="C374" s="292" t="s">
        <v>3083</v>
      </c>
      <c r="D374" s="293">
        <v>10</v>
      </c>
      <c r="E374" s="293">
        <v>1.95</v>
      </c>
      <c r="F374" s="288" t="s">
        <v>2413</v>
      </c>
      <c r="G374" s="288"/>
      <c r="I374" s="288"/>
      <c r="J374" s="288"/>
      <c r="K374" s="288"/>
    </row>
    <row r="375" spans="1:11">
      <c r="A375" s="287"/>
      <c r="B375" s="288" t="s">
        <v>2744</v>
      </c>
      <c r="C375" s="292" t="s">
        <v>3084</v>
      </c>
      <c r="D375" s="288" t="s">
        <v>2077</v>
      </c>
      <c r="E375" s="293">
        <v>1.92</v>
      </c>
      <c r="F375" s="293" t="s">
        <v>332</v>
      </c>
      <c r="G375" s="288"/>
      <c r="I375" s="288"/>
      <c r="J375" s="288"/>
      <c r="K375" s="288"/>
    </row>
    <row r="376" spans="1:11">
      <c r="A376" s="287"/>
      <c r="B376" s="288" t="s">
        <v>2744</v>
      </c>
      <c r="C376" s="292" t="s">
        <v>3085</v>
      </c>
      <c r="D376" s="288" t="s">
        <v>2077</v>
      </c>
      <c r="E376" s="293">
        <v>1.92</v>
      </c>
      <c r="F376" s="293" t="s">
        <v>332</v>
      </c>
      <c r="G376" s="288"/>
      <c r="I376" s="288"/>
      <c r="J376" s="288"/>
      <c r="K376" s="288"/>
    </row>
    <row r="377" spans="1:11">
      <c r="A377" s="287"/>
      <c r="B377" s="288" t="s">
        <v>2744</v>
      </c>
      <c r="C377" s="292" t="s">
        <v>522</v>
      </c>
      <c r="D377" s="288" t="s">
        <v>2077</v>
      </c>
      <c r="E377" s="288" t="s">
        <v>432</v>
      </c>
      <c r="F377" s="288" t="s">
        <v>332</v>
      </c>
      <c r="G377" s="288"/>
      <c r="I377" s="288"/>
      <c r="J377" s="288"/>
      <c r="K377" s="288"/>
    </row>
    <row r="378" spans="1:11">
      <c r="A378" s="287"/>
      <c r="B378" s="288" t="s">
        <v>2744</v>
      </c>
      <c r="C378" s="292" t="s">
        <v>3086</v>
      </c>
      <c r="D378" s="293">
        <v>10.35</v>
      </c>
      <c r="E378" s="293">
        <v>1.8</v>
      </c>
      <c r="F378" s="293" t="s">
        <v>342</v>
      </c>
      <c r="G378" s="288"/>
      <c r="I378" s="288"/>
      <c r="J378" s="293"/>
      <c r="K378" s="293"/>
    </row>
    <row r="379" spans="1:11">
      <c r="A379" s="287"/>
      <c r="B379" s="288" t="s">
        <v>2744</v>
      </c>
      <c r="C379" s="292" t="s">
        <v>3088</v>
      </c>
      <c r="D379" s="293">
        <v>10.99</v>
      </c>
      <c r="E379" s="293">
        <v>2.2000000000000002</v>
      </c>
      <c r="F379" s="288" t="s">
        <v>3089</v>
      </c>
      <c r="G379" s="288"/>
      <c r="I379" s="293"/>
      <c r="J379" s="293"/>
      <c r="K379" s="293"/>
    </row>
    <row r="380" spans="1:11">
      <c r="A380" s="287"/>
      <c r="B380" s="288" t="s">
        <v>2744</v>
      </c>
      <c r="C380" s="292" t="s">
        <v>3087</v>
      </c>
      <c r="D380" s="293">
        <v>10.81</v>
      </c>
      <c r="E380" s="293">
        <v>1.8</v>
      </c>
      <c r="F380" s="293" t="s">
        <v>364</v>
      </c>
      <c r="G380" s="288"/>
      <c r="I380" s="293"/>
      <c r="J380" s="293"/>
      <c r="K380" s="293"/>
    </row>
    <row r="381" spans="1:11">
      <c r="A381" s="287"/>
      <c r="B381" s="288" t="s">
        <v>2744</v>
      </c>
      <c r="C381" s="292" t="s">
        <v>3090</v>
      </c>
      <c r="D381" s="293">
        <v>10.53</v>
      </c>
      <c r="E381" s="293">
        <v>1.7</v>
      </c>
      <c r="F381" s="288" t="s">
        <v>344</v>
      </c>
      <c r="G381" s="288"/>
      <c r="I381" s="293"/>
      <c r="J381" s="288"/>
      <c r="K381" s="288"/>
    </row>
    <row r="382" spans="1:11">
      <c r="A382" s="287"/>
      <c r="B382" s="288" t="s">
        <v>2744</v>
      </c>
      <c r="C382" s="292" t="s">
        <v>3091</v>
      </c>
      <c r="D382" s="293">
        <v>10.53</v>
      </c>
      <c r="E382" s="293">
        <v>1.9</v>
      </c>
      <c r="F382" s="288" t="s">
        <v>344</v>
      </c>
      <c r="G382" s="288"/>
      <c r="I382" s="288"/>
      <c r="J382" s="288"/>
      <c r="K382" s="288"/>
    </row>
    <row r="383" spans="1:11">
      <c r="A383" s="287"/>
      <c r="B383" s="288" t="s">
        <v>2744</v>
      </c>
      <c r="C383" s="292" t="s">
        <v>3092</v>
      </c>
      <c r="D383" s="288" t="s">
        <v>2078</v>
      </c>
      <c r="E383" s="293">
        <v>1.9</v>
      </c>
      <c r="F383" s="293" t="s">
        <v>2409</v>
      </c>
      <c r="G383" s="293"/>
      <c r="H383" s="296"/>
      <c r="I383" s="288"/>
      <c r="J383" s="288"/>
      <c r="K383" s="288"/>
    </row>
    <row r="384" spans="1:11">
      <c r="A384" s="287"/>
      <c r="B384" s="288" t="s">
        <v>2744</v>
      </c>
      <c r="C384" s="292" t="s">
        <v>3093</v>
      </c>
      <c r="D384" s="288" t="s">
        <v>2079</v>
      </c>
      <c r="E384" s="293">
        <v>1.7</v>
      </c>
      <c r="F384" s="293" t="s">
        <v>349</v>
      </c>
      <c r="G384" s="293"/>
      <c r="H384" s="296"/>
      <c r="I384" s="288"/>
      <c r="J384" s="288"/>
      <c r="K384" s="288"/>
    </row>
    <row r="385" spans="1:11">
      <c r="A385" s="287"/>
      <c r="B385" s="288" t="s">
        <v>2744</v>
      </c>
      <c r="C385" s="292" t="s">
        <v>632</v>
      </c>
      <c r="D385" s="293">
        <v>11.36</v>
      </c>
      <c r="E385" s="293">
        <v>1.76</v>
      </c>
      <c r="F385" s="293" t="s">
        <v>344</v>
      </c>
      <c r="G385" s="293"/>
      <c r="H385" s="296"/>
      <c r="I385" s="288"/>
      <c r="J385" s="288"/>
      <c r="K385" s="288"/>
    </row>
    <row r="386" spans="1:11">
      <c r="A386" s="287"/>
      <c r="B386" s="288" t="s">
        <v>2744</v>
      </c>
      <c r="C386" s="292" t="s">
        <v>633</v>
      </c>
      <c r="D386" s="293">
        <v>11.36</v>
      </c>
      <c r="E386" s="293">
        <v>1.95</v>
      </c>
      <c r="F386" s="288" t="s">
        <v>344</v>
      </c>
      <c r="G386" s="288"/>
      <c r="I386" s="288"/>
      <c r="J386" s="293"/>
      <c r="K386" s="293"/>
    </row>
    <row r="387" spans="1:11">
      <c r="A387" s="287"/>
      <c r="B387" s="288" t="s">
        <v>2744</v>
      </c>
      <c r="C387" s="292" t="s">
        <v>3094</v>
      </c>
      <c r="D387" s="293">
        <v>11.6</v>
      </c>
      <c r="E387" s="293">
        <v>2</v>
      </c>
      <c r="F387" s="293" t="s">
        <v>3069</v>
      </c>
      <c r="G387" s="288"/>
      <c r="I387" s="293"/>
      <c r="J387" s="293"/>
      <c r="K387" s="293"/>
    </row>
    <row r="388" spans="1:11">
      <c r="A388" s="287"/>
      <c r="B388" s="288" t="s">
        <v>2744</v>
      </c>
      <c r="C388" s="292" t="s">
        <v>634</v>
      </c>
      <c r="D388" s="293">
        <v>12.07</v>
      </c>
      <c r="E388" s="293">
        <v>1.6</v>
      </c>
      <c r="F388" s="293" t="s">
        <v>332</v>
      </c>
      <c r="G388" s="288"/>
      <c r="I388" s="293"/>
      <c r="J388" s="288"/>
      <c r="K388" s="288"/>
    </row>
    <row r="389" spans="1:11">
      <c r="A389" s="287"/>
      <c r="B389" s="288" t="s">
        <v>2744</v>
      </c>
      <c r="C389" s="292" t="s">
        <v>635</v>
      </c>
      <c r="D389" s="288" t="s">
        <v>2080</v>
      </c>
      <c r="E389" s="293">
        <v>2.1</v>
      </c>
      <c r="F389" s="293" t="s">
        <v>332</v>
      </c>
      <c r="G389" s="288"/>
      <c r="I389" s="288"/>
      <c r="J389" s="293"/>
      <c r="K389" s="293"/>
    </row>
    <row r="390" spans="1:11">
      <c r="A390" s="287"/>
      <c r="B390" s="288" t="s">
        <v>2744</v>
      </c>
      <c r="C390" s="292" t="s">
        <v>3095</v>
      </c>
      <c r="D390" s="293">
        <v>11.99</v>
      </c>
      <c r="E390" s="293">
        <v>2.1</v>
      </c>
      <c r="F390" s="288" t="s">
        <v>2411</v>
      </c>
      <c r="G390" s="288"/>
      <c r="I390" s="293"/>
      <c r="J390" s="293"/>
      <c r="K390" s="293"/>
    </row>
    <row r="391" spans="1:11">
      <c r="A391" s="287"/>
      <c r="B391" s="288" t="s">
        <v>2744</v>
      </c>
      <c r="C391" s="292" t="s">
        <v>3096</v>
      </c>
      <c r="D391" s="293">
        <v>11.9</v>
      </c>
      <c r="E391" s="293">
        <v>2.0299999999999998</v>
      </c>
      <c r="F391" s="288" t="s">
        <v>2411</v>
      </c>
      <c r="G391" s="293"/>
      <c r="H391" s="296"/>
      <c r="I391" s="293"/>
      <c r="J391" s="293"/>
      <c r="K391" s="293"/>
    </row>
    <row r="392" spans="1:11">
      <c r="A392" s="287"/>
      <c r="B392" s="288" t="s">
        <v>2744</v>
      </c>
      <c r="C392" s="292" t="s">
        <v>3097</v>
      </c>
      <c r="D392" s="293">
        <v>11.95</v>
      </c>
      <c r="E392" s="293">
        <v>2</v>
      </c>
      <c r="F392" s="293" t="s">
        <v>2408</v>
      </c>
      <c r="G392" s="293"/>
      <c r="H392" s="296"/>
      <c r="I392" s="293"/>
      <c r="J392" s="293"/>
      <c r="K392" s="293"/>
    </row>
    <row r="393" spans="1:11">
      <c r="A393" s="287"/>
      <c r="B393" s="288" t="s">
        <v>2744</v>
      </c>
      <c r="C393" s="292" t="s">
        <v>606</v>
      </c>
      <c r="D393" s="288" t="s">
        <v>2032</v>
      </c>
      <c r="E393" s="288" t="s">
        <v>433</v>
      </c>
      <c r="F393" s="288" t="s">
        <v>1154</v>
      </c>
      <c r="G393" s="293"/>
      <c r="I393" s="293"/>
      <c r="J393" s="293"/>
      <c r="K393" s="293"/>
    </row>
    <row r="394" spans="1:11">
      <c r="A394" s="287"/>
      <c r="B394" s="288" t="s">
        <v>2744</v>
      </c>
      <c r="C394" s="292" t="s">
        <v>3098</v>
      </c>
      <c r="D394" s="293">
        <v>12.6</v>
      </c>
      <c r="E394" s="293">
        <v>1.7</v>
      </c>
      <c r="F394" s="288" t="s">
        <v>2413</v>
      </c>
      <c r="G394" s="288"/>
      <c r="H394" s="296"/>
      <c r="I394" s="293"/>
      <c r="J394" s="293"/>
      <c r="K394" s="293"/>
    </row>
    <row r="395" spans="1:11">
      <c r="A395" s="287"/>
      <c r="B395" s="288" t="s">
        <v>2744</v>
      </c>
      <c r="C395" s="292" t="s">
        <v>3099</v>
      </c>
      <c r="D395" s="293">
        <v>12.6</v>
      </c>
      <c r="E395" s="293">
        <v>2.1</v>
      </c>
      <c r="F395" s="288" t="s">
        <v>2413</v>
      </c>
      <c r="G395" s="293"/>
      <c r="H395" s="296"/>
      <c r="I395" s="293"/>
      <c r="J395" s="293"/>
      <c r="K395" s="293"/>
    </row>
    <row r="396" spans="1:11">
      <c r="A396" s="287"/>
      <c r="B396" s="288" t="s">
        <v>2744</v>
      </c>
      <c r="C396" s="292" t="s">
        <v>3100</v>
      </c>
      <c r="D396" s="288" t="s">
        <v>2081</v>
      </c>
      <c r="E396" s="293">
        <v>2</v>
      </c>
      <c r="F396" s="293" t="s">
        <v>2409</v>
      </c>
      <c r="G396" s="293"/>
      <c r="H396" s="296"/>
      <c r="I396" s="293"/>
      <c r="J396" s="293"/>
      <c r="K396" s="293"/>
    </row>
    <row r="397" spans="1:11">
      <c r="A397" s="287"/>
      <c r="B397" s="288" t="s">
        <v>2744</v>
      </c>
      <c r="C397" s="292" t="s">
        <v>637</v>
      </c>
      <c r="D397" s="293">
        <v>13.35</v>
      </c>
      <c r="E397" s="293">
        <v>1.76</v>
      </c>
      <c r="F397" s="293" t="s">
        <v>332</v>
      </c>
      <c r="G397" s="293"/>
      <c r="H397" s="296"/>
      <c r="I397" s="293"/>
      <c r="J397" s="288"/>
      <c r="K397" s="288"/>
    </row>
    <row r="398" spans="1:11">
      <c r="A398" s="287"/>
      <c r="B398" s="288" t="s">
        <v>2744</v>
      </c>
      <c r="C398" s="292" t="s">
        <v>636</v>
      </c>
      <c r="D398" s="293">
        <v>13.35</v>
      </c>
      <c r="E398" s="293">
        <v>2.2999999999999998</v>
      </c>
      <c r="F398" s="293" t="s">
        <v>332</v>
      </c>
      <c r="G398" s="293"/>
      <c r="H398" s="296"/>
      <c r="I398" s="288"/>
      <c r="J398" s="288"/>
      <c r="K398" s="288"/>
    </row>
    <row r="399" spans="1:11">
      <c r="A399" s="287"/>
      <c r="B399" s="288" t="s">
        <v>2744</v>
      </c>
      <c r="C399" s="292" t="s">
        <v>1139</v>
      </c>
      <c r="D399" s="288" t="s">
        <v>529</v>
      </c>
      <c r="E399" s="293">
        <v>2.2000000000000002</v>
      </c>
      <c r="F399" s="288" t="s">
        <v>339</v>
      </c>
      <c r="G399" s="293"/>
      <c r="H399" s="296"/>
      <c r="I399" s="288"/>
      <c r="J399" s="288"/>
      <c r="K399" s="288"/>
    </row>
    <row r="400" spans="1:11">
      <c r="A400" s="287"/>
      <c r="B400" s="288" t="s">
        <v>2744</v>
      </c>
      <c r="C400" s="292" t="s">
        <v>1140</v>
      </c>
      <c r="D400" s="288" t="s">
        <v>2082</v>
      </c>
      <c r="E400" s="293">
        <v>2.2999999999999998</v>
      </c>
      <c r="F400" s="293" t="s">
        <v>2408</v>
      </c>
      <c r="G400" s="293"/>
      <c r="H400" s="296"/>
      <c r="I400" s="288"/>
      <c r="J400" s="288"/>
      <c r="K400" s="288"/>
    </row>
    <row r="401" spans="1:11">
      <c r="A401" s="287"/>
      <c r="B401" s="288" t="s">
        <v>2744</v>
      </c>
      <c r="C401" s="292" t="s">
        <v>1141</v>
      </c>
      <c r="D401" s="288" t="s">
        <v>2082</v>
      </c>
      <c r="E401" s="293">
        <v>2.2999999999999998</v>
      </c>
      <c r="F401" s="288" t="s">
        <v>334</v>
      </c>
      <c r="G401" s="293"/>
      <c r="H401" s="296"/>
      <c r="I401" s="288"/>
      <c r="J401" s="293"/>
      <c r="K401" s="293"/>
    </row>
    <row r="402" spans="1:11">
      <c r="A402" s="287"/>
      <c r="B402" s="288" t="s">
        <v>2744</v>
      </c>
      <c r="C402" s="292" t="s">
        <v>607</v>
      </c>
      <c r="D402" s="288" t="s">
        <v>529</v>
      </c>
      <c r="E402" s="288" t="s">
        <v>1711</v>
      </c>
      <c r="F402" s="288" t="s">
        <v>1154</v>
      </c>
      <c r="G402" s="293"/>
      <c r="I402" s="293"/>
      <c r="J402" s="293"/>
      <c r="K402" s="293"/>
    </row>
    <row r="403" spans="1:11">
      <c r="A403" s="287"/>
      <c r="B403" s="288" t="s">
        <v>2744</v>
      </c>
      <c r="C403" s="292" t="s">
        <v>1142</v>
      </c>
      <c r="D403" s="293">
        <v>13.45</v>
      </c>
      <c r="E403" s="293">
        <v>2</v>
      </c>
      <c r="F403" s="293" t="s">
        <v>2412</v>
      </c>
      <c r="G403" s="293"/>
      <c r="I403" s="293"/>
      <c r="J403" s="288"/>
      <c r="K403" s="288"/>
    </row>
    <row r="404" spans="1:11">
      <c r="A404" s="287"/>
      <c r="B404" s="288" t="s">
        <v>2744</v>
      </c>
      <c r="C404" s="292" t="s">
        <v>534</v>
      </c>
      <c r="D404" s="288" t="s">
        <v>1291</v>
      </c>
      <c r="E404" s="288" t="s">
        <v>1715</v>
      </c>
      <c r="F404" s="288" t="s">
        <v>2413</v>
      </c>
      <c r="G404" s="288"/>
      <c r="I404" s="288"/>
      <c r="J404" s="288"/>
      <c r="K404" s="288"/>
    </row>
    <row r="405" spans="1:11">
      <c r="A405" s="287"/>
      <c r="B405" s="288" t="s">
        <v>2745</v>
      </c>
      <c r="C405" s="292" t="s">
        <v>1144</v>
      </c>
      <c r="D405" s="293">
        <v>6.34</v>
      </c>
      <c r="E405" s="293">
        <v>1.55</v>
      </c>
      <c r="F405" s="288" t="s">
        <v>339</v>
      </c>
      <c r="G405" s="288"/>
      <c r="I405" s="288"/>
      <c r="J405" s="288"/>
      <c r="K405" s="288"/>
    </row>
    <row r="406" spans="1:11">
      <c r="A406" s="287"/>
      <c r="B406" s="288" t="s">
        <v>2745</v>
      </c>
      <c r="C406" s="292" t="s">
        <v>1145</v>
      </c>
      <c r="D406" s="293">
        <v>9.1999999999999993</v>
      </c>
      <c r="E406" s="293">
        <v>1.8</v>
      </c>
      <c r="F406" s="293" t="s">
        <v>342</v>
      </c>
      <c r="G406" s="288"/>
      <c r="H406" s="296"/>
      <c r="I406" s="288"/>
      <c r="J406" s="288"/>
      <c r="K406" s="288"/>
    </row>
    <row r="407" spans="1:11">
      <c r="A407" s="287"/>
      <c r="B407" s="288" t="s">
        <v>2745</v>
      </c>
      <c r="C407" s="292" t="s">
        <v>1146</v>
      </c>
      <c r="D407" s="288" t="s">
        <v>2083</v>
      </c>
      <c r="E407" s="293">
        <v>1.85</v>
      </c>
      <c r="F407" s="293" t="s">
        <v>2424</v>
      </c>
      <c r="G407" s="288"/>
      <c r="H407" s="296"/>
      <c r="I407" s="288"/>
      <c r="J407" s="288"/>
      <c r="K407" s="288"/>
    </row>
    <row r="408" spans="1:11">
      <c r="A408" s="287"/>
      <c r="B408" s="288" t="s">
        <v>2745</v>
      </c>
      <c r="C408" s="292" t="s">
        <v>1147</v>
      </c>
      <c r="D408" s="293">
        <v>9.25</v>
      </c>
      <c r="E408" s="293">
        <v>1.9</v>
      </c>
      <c r="F408" s="288" t="s">
        <v>334</v>
      </c>
      <c r="G408" s="293"/>
      <c r="I408" s="288"/>
      <c r="J408" s="288"/>
      <c r="K408" s="288"/>
    </row>
    <row r="409" spans="1:11">
      <c r="A409" s="287"/>
      <c r="B409" s="288" t="s">
        <v>2745</v>
      </c>
      <c r="C409" s="292" t="s">
        <v>1148</v>
      </c>
      <c r="D409" s="293">
        <v>10</v>
      </c>
      <c r="E409" s="293">
        <v>1.9</v>
      </c>
      <c r="F409" s="293" t="s">
        <v>2409</v>
      </c>
      <c r="G409" s="293"/>
      <c r="I409" s="288"/>
      <c r="J409" s="288"/>
      <c r="K409" s="288"/>
    </row>
    <row r="410" spans="1:11">
      <c r="A410" s="287"/>
      <c r="B410" s="288" t="s">
        <v>2745</v>
      </c>
      <c r="C410" s="292" t="s">
        <v>1149</v>
      </c>
      <c r="D410" s="293">
        <v>9.9499999999999993</v>
      </c>
      <c r="E410" s="293">
        <v>1.78</v>
      </c>
      <c r="F410" s="293" t="s">
        <v>3668</v>
      </c>
      <c r="G410" s="288"/>
      <c r="I410" s="288"/>
      <c r="J410" s="288"/>
      <c r="K410" s="288"/>
    </row>
    <row r="411" spans="1:11">
      <c r="A411" s="287"/>
      <c r="B411" s="288" t="s">
        <v>2745</v>
      </c>
      <c r="C411" s="292" t="s">
        <v>638</v>
      </c>
      <c r="D411" s="293">
        <v>9.99</v>
      </c>
      <c r="E411" s="293">
        <v>2</v>
      </c>
      <c r="F411" s="288" t="s">
        <v>2427</v>
      </c>
      <c r="G411" s="288"/>
      <c r="I411" s="288"/>
      <c r="J411" s="288"/>
      <c r="K411" s="288"/>
    </row>
    <row r="412" spans="1:11">
      <c r="A412" s="287"/>
      <c r="B412" s="288" t="s">
        <v>2745</v>
      </c>
      <c r="C412" s="292" t="s">
        <v>639</v>
      </c>
      <c r="D412" s="293">
        <v>9.99</v>
      </c>
      <c r="E412" s="293">
        <v>2.1</v>
      </c>
      <c r="F412" s="288" t="s">
        <v>2427</v>
      </c>
      <c r="G412" s="288"/>
      <c r="I412" s="288"/>
      <c r="J412" s="288"/>
      <c r="K412" s="288"/>
    </row>
    <row r="413" spans="1:11">
      <c r="A413" s="287"/>
      <c r="B413" s="288" t="s">
        <v>2745</v>
      </c>
      <c r="C413" s="292" t="s">
        <v>4408</v>
      </c>
      <c r="D413" s="293">
        <v>10.6</v>
      </c>
      <c r="E413" s="293">
        <v>2.15</v>
      </c>
      <c r="F413" s="288" t="s">
        <v>2411</v>
      </c>
      <c r="G413" s="288"/>
      <c r="I413" s="288"/>
      <c r="J413" s="293"/>
      <c r="K413" s="293"/>
    </row>
    <row r="414" spans="1:11">
      <c r="A414" s="287"/>
      <c r="B414" s="288" t="s">
        <v>2745</v>
      </c>
      <c r="C414" s="292" t="s">
        <v>4409</v>
      </c>
      <c r="D414" s="293">
        <v>10.6</v>
      </c>
      <c r="E414" s="293">
        <v>2.35</v>
      </c>
      <c r="F414" s="288" t="s">
        <v>2411</v>
      </c>
      <c r="G414" s="288"/>
      <c r="I414" s="293"/>
      <c r="J414" s="293"/>
      <c r="K414" s="293"/>
    </row>
    <row r="415" spans="1:11">
      <c r="A415" s="287"/>
      <c r="B415" s="288" t="s">
        <v>2745</v>
      </c>
      <c r="C415" s="292" t="s">
        <v>4410</v>
      </c>
      <c r="D415" s="288" t="s">
        <v>608</v>
      </c>
      <c r="E415" s="288" t="s">
        <v>471</v>
      </c>
      <c r="F415" s="288" t="s">
        <v>2411</v>
      </c>
      <c r="G415" s="288"/>
      <c r="I415" s="293"/>
      <c r="J415" s="293"/>
      <c r="K415" s="293"/>
    </row>
    <row r="416" spans="1:11">
      <c r="A416" s="287"/>
      <c r="B416" s="288" t="s">
        <v>2745</v>
      </c>
      <c r="C416" s="292" t="s">
        <v>4411</v>
      </c>
      <c r="D416" s="288" t="s">
        <v>608</v>
      </c>
      <c r="E416" s="288" t="s">
        <v>1715</v>
      </c>
      <c r="F416" s="288" t="s">
        <v>2411</v>
      </c>
      <c r="G416" s="288"/>
      <c r="I416" s="293"/>
      <c r="J416" s="293"/>
      <c r="K416" s="293"/>
    </row>
    <row r="417" spans="1:11">
      <c r="A417" s="287"/>
      <c r="B417" s="288" t="s">
        <v>2745</v>
      </c>
      <c r="C417" s="292" t="s">
        <v>1150</v>
      </c>
      <c r="D417" s="293">
        <v>10.69</v>
      </c>
      <c r="E417" s="293">
        <v>1.9</v>
      </c>
      <c r="F417" s="293" t="s">
        <v>2409</v>
      </c>
      <c r="G417" s="288"/>
      <c r="I417" s="293"/>
      <c r="J417" s="293"/>
      <c r="K417" s="293"/>
    </row>
    <row r="418" spans="1:11">
      <c r="A418" s="287"/>
      <c r="B418" s="288" t="s">
        <v>2745</v>
      </c>
      <c r="C418" s="292" t="s">
        <v>641</v>
      </c>
      <c r="D418" s="293">
        <v>11.16</v>
      </c>
      <c r="E418" s="293">
        <v>2.0499999999999998</v>
      </c>
      <c r="F418" s="293" t="s">
        <v>2410</v>
      </c>
      <c r="G418" s="288"/>
      <c r="H418" s="296"/>
      <c r="I418" s="293"/>
      <c r="J418" s="293"/>
      <c r="K418" s="293"/>
    </row>
    <row r="419" spans="1:11">
      <c r="A419" s="287"/>
      <c r="B419" s="288" t="s">
        <v>2745</v>
      </c>
      <c r="C419" s="292" t="s">
        <v>640</v>
      </c>
      <c r="D419" s="288" t="s">
        <v>2084</v>
      </c>
      <c r="E419" s="293">
        <v>2.33</v>
      </c>
      <c r="F419" s="293" t="s">
        <v>2410</v>
      </c>
      <c r="G419" s="288"/>
      <c r="H419" s="296"/>
      <c r="I419" s="293"/>
      <c r="J419" s="293"/>
      <c r="K419" s="293"/>
    </row>
    <row r="420" spans="1:11">
      <c r="A420" s="287"/>
      <c r="B420" s="288" t="s">
        <v>2745</v>
      </c>
      <c r="C420" s="292" t="s">
        <v>1151</v>
      </c>
      <c r="D420" s="293">
        <v>11.8</v>
      </c>
      <c r="E420" s="293">
        <v>1.79</v>
      </c>
      <c r="F420" s="293" t="s">
        <v>2404</v>
      </c>
      <c r="G420" s="288"/>
      <c r="H420" s="296"/>
      <c r="I420" s="293"/>
      <c r="J420" s="293"/>
      <c r="K420" s="293"/>
    </row>
    <row r="421" spans="1:11">
      <c r="A421" s="287"/>
      <c r="B421" s="288" t="s">
        <v>2745</v>
      </c>
      <c r="C421" s="292" t="s">
        <v>1152</v>
      </c>
      <c r="D421" s="293">
        <v>11.34</v>
      </c>
      <c r="E421" s="293">
        <v>2.35</v>
      </c>
      <c r="F421" s="288" t="s">
        <v>334</v>
      </c>
      <c r="G421" s="293"/>
      <c r="H421" s="296"/>
      <c r="I421" s="293"/>
      <c r="J421" s="288"/>
      <c r="K421" s="288"/>
    </row>
    <row r="422" spans="1:11">
      <c r="A422" s="287"/>
      <c r="B422" s="288" t="s">
        <v>2745</v>
      </c>
      <c r="C422" s="292" t="s">
        <v>642</v>
      </c>
      <c r="D422" s="293">
        <v>11.9</v>
      </c>
      <c r="E422" s="293">
        <v>2.0499999999999998</v>
      </c>
      <c r="F422" s="293" t="s">
        <v>2424</v>
      </c>
      <c r="G422" s="293"/>
      <c r="H422" s="296"/>
      <c r="I422" s="288"/>
      <c r="J422" s="288"/>
      <c r="K422" s="288"/>
    </row>
    <row r="423" spans="1:11">
      <c r="A423" s="287"/>
      <c r="B423" s="288" t="s">
        <v>2745</v>
      </c>
      <c r="C423" s="292" t="s">
        <v>4022</v>
      </c>
      <c r="D423" s="293">
        <v>11.9</v>
      </c>
      <c r="E423" s="293">
        <v>2.4</v>
      </c>
      <c r="F423" s="293" t="s">
        <v>2424</v>
      </c>
      <c r="G423" s="293"/>
      <c r="H423" s="296"/>
      <c r="I423" s="288"/>
      <c r="J423" s="293"/>
      <c r="K423" s="293"/>
    </row>
    <row r="424" spans="1:11">
      <c r="A424" s="287"/>
      <c r="B424" s="288" t="s">
        <v>2745</v>
      </c>
      <c r="C424" s="292" t="s">
        <v>1153</v>
      </c>
      <c r="D424" s="293">
        <v>11.95</v>
      </c>
      <c r="E424" s="293">
        <v>2.2000000000000002</v>
      </c>
      <c r="F424" s="288" t="s">
        <v>3089</v>
      </c>
      <c r="G424" s="293"/>
      <c r="H424" s="296"/>
      <c r="I424" s="293"/>
      <c r="J424" s="293"/>
      <c r="K424" s="293"/>
    </row>
    <row r="425" spans="1:11">
      <c r="A425" s="287"/>
      <c r="B425" s="288" t="s">
        <v>2745</v>
      </c>
      <c r="C425" s="292" t="s">
        <v>1155</v>
      </c>
      <c r="D425" s="293">
        <v>11.95</v>
      </c>
      <c r="E425" s="293">
        <v>2.4</v>
      </c>
      <c r="F425" s="288" t="s">
        <v>3089</v>
      </c>
      <c r="G425" s="293"/>
      <c r="H425" s="296"/>
      <c r="I425" s="293"/>
      <c r="J425" s="293"/>
      <c r="K425" s="288"/>
    </row>
    <row r="426" spans="1:11">
      <c r="A426" s="287"/>
      <c r="B426" s="288" t="s">
        <v>2745</v>
      </c>
      <c r="C426" s="292" t="s">
        <v>1156</v>
      </c>
      <c r="D426" s="293">
        <v>11.95</v>
      </c>
      <c r="E426" s="293">
        <v>2.4</v>
      </c>
      <c r="F426" s="288" t="s">
        <v>3089</v>
      </c>
      <c r="G426" s="293"/>
      <c r="I426" s="288"/>
      <c r="J426" s="288"/>
      <c r="K426" s="288"/>
    </row>
    <row r="427" spans="1:11">
      <c r="A427" s="287"/>
      <c r="B427" s="288" t="s">
        <v>2745</v>
      </c>
      <c r="C427" s="292" t="s">
        <v>1157</v>
      </c>
      <c r="D427" s="293">
        <v>12.28</v>
      </c>
      <c r="E427" s="293">
        <v>2.4500000000000002</v>
      </c>
      <c r="F427" s="288" t="s">
        <v>2413</v>
      </c>
      <c r="G427" s="293"/>
      <c r="I427" s="293"/>
      <c r="J427" s="293"/>
      <c r="K427" s="293"/>
    </row>
    <row r="428" spans="1:11">
      <c r="A428" s="287"/>
      <c r="B428" s="288" t="s">
        <v>2745</v>
      </c>
      <c r="C428" s="292" t="s">
        <v>1158</v>
      </c>
      <c r="D428" s="293">
        <v>13</v>
      </c>
      <c r="E428" s="293">
        <v>2</v>
      </c>
      <c r="F428" s="293" t="s">
        <v>347</v>
      </c>
      <c r="G428" s="293"/>
      <c r="H428" s="296"/>
      <c r="I428" s="293"/>
      <c r="J428" s="293"/>
      <c r="K428" s="293"/>
    </row>
    <row r="429" spans="1:11">
      <c r="A429" s="287"/>
      <c r="B429" s="288" t="s">
        <v>2745</v>
      </c>
      <c r="C429" s="292" t="s">
        <v>525</v>
      </c>
      <c r="D429" s="288" t="s">
        <v>1154</v>
      </c>
      <c r="E429" s="288" t="s">
        <v>432</v>
      </c>
      <c r="F429" s="288" t="s">
        <v>344</v>
      </c>
      <c r="G429" s="288"/>
      <c r="H429" s="296"/>
      <c r="I429" s="293"/>
      <c r="J429" s="293"/>
      <c r="K429" s="293"/>
    </row>
    <row r="430" spans="1:11">
      <c r="A430" s="287"/>
      <c r="B430" s="288" t="s">
        <v>2745</v>
      </c>
      <c r="C430" s="292" t="s">
        <v>527</v>
      </c>
      <c r="D430" s="288" t="s">
        <v>1154</v>
      </c>
      <c r="E430" s="288" t="s">
        <v>528</v>
      </c>
      <c r="F430" s="288" t="s">
        <v>344</v>
      </c>
      <c r="G430" s="288"/>
      <c r="I430" s="288"/>
      <c r="J430" s="288"/>
      <c r="K430" s="288"/>
    </row>
    <row r="431" spans="1:11">
      <c r="A431" s="287"/>
      <c r="B431" s="288" t="s">
        <v>2745</v>
      </c>
      <c r="C431" s="292" t="s">
        <v>526</v>
      </c>
      <c r="D431" s="288" t="s">
        <v>1154</v>
      </c>
      <c r="E431" s="288" t="s">
        <v>432</v>
      </c>
      <c r="F431" s="288" t="s">
        <v>344</v>
      </c>
      <c r="G431" s="293"/>
      <c r="H431" s="296"/>
      <c r="I431" s="288"/>
      <c r="J431" s="288"/>
      <c r="K431" s="288"/>
    </row>
    <row r="432" spans="1:11">
      <c r="A432" s="287"/>
      <c r="B432" s="288" t="s">
        <v>2745</v>
      </c>
      <c r="C432" s="292" t="s">
        <v>4023</v>
      </c>
      <c r="D432" s="293">
        <v>13.6</v>
      </c>
      <c r="E432" s="293">
        <v>2.0499999999999998</v>
      </c>
      <c r="F432" s="288" t="s">
        <v>2413</v>
      </c>
      <c r="G432" s="293"/>
      <c r="H432" s="296"/>
      <c r="I432" s="293"/>
      <c r="J432" s="293"/>
      <c r="K432" s="293"/>
    </row>
    <row r="433" spans="1:11">
      <c r="A433" s="287"/>
      <c r="B433" s="288" t="s">
        <v>2746</v>
      </c>
      <c r="C433" s="292" t="s">
        <v>1163</v>
      </c>
      <c r="D433" s="293">
        <v>11.43</v>
      </c>
      <c r="E433" s="293">
        <v>1.72</v>
      </c>
      <c r="F433" s="293" t="s">
        <v>2420</v>
      </c>
      <c r="G433" s="288"/>
      <c r="H433" s="296"/>
      <c r="I433" s="288"/>
      <c r="J433" s="288"/>
      <c r="K433" s="288"/>
    </row>
    <row r="434" spans="1:11">
      <c r="A434" s="287"/>
      <c r="B434" s="288" t="s">
        <v>2746</v>
      </c>
      <c r="C434" s="292" t="s">
        <v>1164</v>
      </c>
      <c r="D434" s="293">
        <v>11.53</v>
      </c>
      <c r="E434" s="293">
        <v>1.98</v>
      </c>
      <c r="F434" s="293" t="s">
        <v>2435</v>
      </c>
      <c r="G434" s="293"/>
      <c r="I434" s="288"/>
      <c r="J434" s="288"/>
      <c r="K434" s="288"/>
    </row>
    <row r="435" spans="1:11">
      <c r="A435" s="287"/>
      <c r="B435" s="288" t="s">
        <v>2746</v>
      </c>
      <c r="C435" s="292" t="s">
        <v>1165</v>
      </c>
      <c r="D435" s="293">
        <v>11.89</v>
      </c>
      <c r="E435" s="293">
        <v>1.86</v>
      </c>
      <c r="F435" s="293" t="s">
        <v>2415</v>
      </c>
      <c r="G435" s="293"/>
      <c r="I435" s="288"/>
      <c r="J435" s="288"/>
      <c r="K435" s="288"/>
    </row>
    <row r="436" spans="1:11">
      <c r="A436" s="287"/>
      <c r="B436" s="288" t="s">
        <v>2747</v>
      </c>
      <c r="C436" s="292" t="s">
        <v>1168</v>
      </c>
      <c r="D436" s="293">
        <v>8.4499999999999993</v>
      </c>
      <c r="E436" s="293">
        <v>1.25</v>
      </c>
      <c r="F436" s="293" t="s">
        <v>3616</v>
      </c>
      <c r="G436" s="293"/>
      <c r="H436" s="296"/>
      <c r="I436" s="288"/>
      <c r="J436" s="288"/>
      <c r="K436" s="288"/>
    </row>
    <row r="437" spans="1:11">
      <c r="A437" s="287"/>
      <c r="B437" s="288" t="s">
        <v>2747</v>
      </c>
      <c r="C437" s="292" t="s">
        <v>1169</v>
      </c>
      <c r="D437" s="293">
        <v>9</v>
      </c>
      <c r="E437" s="293">
        <v>1.74</v>
      </c>
      <c r="F437" s="293" t="s">
        <v>355</v>
      </c>
      <c r="G437" s="288"/>
      <c r="I437" s="288"/>
      <c r="J437" s="288"/>
      <c r="K437" s="288"/>
    </row>
    <row r="438" spans="1:11">
      <c r="A438" s="287"/>
      <c r="B438" s="288" t="s">
        <v>2747</v>
      </c>
      <c r="C438" s="292" t="s">
        <v>1170</v>
      </c>
      <c r="D438" s="293">
        <v>9.61</v>
      </c>
      <c r="E438" s="293">
        <v>1.3</v>
      </c>
      <c r="F438" s="293" t="s">
        <v>332</v>
      </c>
      <c r="G438" s="288"/>
      <c r="I438" s="293"/>
      <c r="J438" s="293"/>
      <c r="K438" s="293"/>
    </row>
    <row r="439" spans="1:11">
      <c r="A439" s="287"/>
      <c r="B439" s="288" t="s">
        <v>2748</v>
      </c>
      <c r="C439" s="292" t="s">
        <v>1171</v>
      </c>
      <c r="D439" s="288" t="s">
        <v>2057</v>
      </c>
      <c r="E439" s="293">
        <v>1.83</v>
      </c>
      <c r="F439" s="293" t="s">
        <v>3668</v>
      </c>
      <c r="G439" s="293"/>
      <c r="I439" s="288"/>
      <c r="J439" s="288"/>
      <c r="K439" s="288"/>
    </row>
    <row r="440" spans="1:11">
      <c r="A440" s="287"/>
      <c r="B440" s="288" t="s">
        <v>2748</v>
      </c>
      <c r="C440" s="292" t="s">
        <v>1172</v>
      </c>
      <c r="D440" s="293">
        <v>12.94</v>
      </c>
      <c r="E440" s="293">
        <v>2.84</v>
      </c>
      <c r="F440" s="293" t="s">
        <v>328</v>
      </c>
      <c r="G440" s="288"/>
      <c r="I440" s="288"/>
      <c r="J440" s="288"/>
      <c r="K440" s="288"/>
    </row>
    <row r="441" spans="1:11">
      <c r="A441" s="287"/>
      <c r="B441" s="288" t="s">
        <v>2749</v>
      </c>
      <c r="C441" s="292" t="s">
        <v>1174</v>
      </c>
      <c r="D441" s="288" t="s">
        <v>2086</v>
      </c>
      <c r="E441" s="293">
        <v>1.83</v>
      </c>
      <c r="F441" s="293" t="s">
        <v>347</v>
      </c>
      <c r="G441" s="288"/>
      <c r="H441" s="296"/>
      <c r="I441" s="288"/>
      <c r="J441" s="288"/>
      <c r="K441" s="288"/>
    </row>
    <row r="442" spans="1:11">
      <c r="A442" s="287"/>
      <c r="B442" s="288" t="s">
        <v>2749</v>
      </c>
      <c r="C442" s="292" t="s">
        <v>1175</v>
      </c>
      <c r="D442" s="293">
        <v>10.64</v>
      </c>
      <c r="E442" s="293">
        <v>2.02</v>
      </c>
      <c r="F442" s="293" t="s">
        <v>328</v>
      </c>
      <c r="G442" s="288"/>
      <c r="H442" s="296"/>
      <c r="I442" s="288"/>
      <c r="J442" s="288"/>
      <c r="K442" s="288"/>
    </row>
    <row r="443" spans="1:11">
      <c r="A443" s="287"/>
      <c r="B443" s="288" t="s">
        <v>2749</v>
      </c>
      <c r="C443" s="292" t="s">
        <v>4025</v>
      </c>
      <c r="D443" s="293">
        <v>11.3</v>
      </c>
      <c r="E443" s="293">
        <v>2.0699999999999998</v>
      </c>
      <c r="F443" s="293" t="s">
        <v>328</v>
      </c>
      <c r="G443" s="288"/>
      <c r="I443" s="288"/>
      <c r="J443" s="288"/>
      <c r="K443" s="288"/>
    </row>
    <row r="444" spans="1:11">
      <c r="A444" s="287"/>
      <c r="B444" s="288" t="s">
        <v>2749</v>
      </c>
      <c r="C444" s="292" t="s">
        <v>4024</v>
      </c>
      <c r="D444" s="293">
        <v>11.3</v>
      </c>
      <c r="E444" s="293">
        <v>2.2200000000000002</v>
      </c>
      <c r="F444" s="293" t="s">
        <v>328</v>
      </c>
      <c r="G444" s="288"/>
      <c r="I444" s="288"/>
      <c r="J444" s="288"/>
      <c r="K444" s="288"/>
    </row>
    <row r="445" spans="1:11">
      <c r="A445" s="287"/>
      <c r="B445" s="288" t="s">
        <v>2750</v>
      </c>
      <c r="C445" s="292" t="s">
        <v>1180</v>
      </c>
      <c r="D445" s="288" t="s">
        <v>2088</v>
      </c>
      <c r="E445" s="293">
        <v>1.83</v>
      </c>
      <c r="F445" s="293" t="s">
        <v>349</v>
      </c>
      <c r="G445" s="293"/>
      <c r="I445" s="288"/>
      <c r="J445" s="288"/>
      <c r="K445" s="288"/>
    </row>
    <row r="446" spans="1:11">
      <c r="A446" s="287"/>
      <c r="B446" s="288" t="s">
        <v>2750</v>
      </c>
      <c r="C446" s="292" t="s">
        <v>1181</v>
      </c>
      <c r="D446" s="293">
        <v>11.66</v>
      </c>
      <c r="E446" s="293">
        <v>2.0099999999999998</v>
      </c>
      <c r="F446" s="293" t="s">
        <v>2418</v>
      </c>
      <c r="G446" s="288"/>
      <c r="I446" s="288"/>
      <c r="J446" s="288"/>
      <c r="K446" s="288"/>
    </row>
    <row r="447" spans="1:11">
      <c r="A447" s="287" t="s">
        <v>2407</v>
      </c>
      <c r="B447" s="288" t="s">
        <v>2750</v>
      </c>
      <c r="C447" s="292" t="s">
        <v>1182</v>
      </c>
      <c r="D447" s="288" t="s">
        <v>2089</v>
      </c>
      <c r="E447" s="293">
        <v>1.92</v>
      </c>
      <c r="F447" s="293" t="s">
        <v>3638</v>
      </c>
      <c r="G447" s="288"/>
      <c r="I447" s="288"/>
      <c r="J447" s="288"/>
      <c r="K447" s="288"/>
    </row>
    <row r="448" spans="1:11">
      <c r="A448" s="287"/>
      <c r="B448" s="288" t="s">
        <v>2750</v>
      </c>
      <c r="C448" s="292" t="s">
        <v>1183</v>
      </c>
      <c r="D448" s="293">
        <v>11.19</v>
      </c>
      <c r="E448" s="293">
        <v>2.7</v>
      </c>
      <c r="F448" s="288" t="s">
        <v>2413</v>
      </c>
      <c r="G448" s="288"/>
      <c r="I448" s="288"/>
      <c r="J448" s="288"/>
      <c r="K448" s="288"/>
    </row>
    <row r="449" spans="1:11">
      <c r="A449" s="287"/>
      <c r="B449" s="288" t="s">
        <v>2750</v>
      </c>
      <c r="C449" s="292" t="s">
        <v>593</v>
      </c>
      <c r="D449" s="288" t="s">
        <v>594</v>
      </c>
      <c r="E449" s="288" t="s">
        <v>433</v>
      </c>
      <c r="F449" s="288" t="s">
        <v>585</v>
      </c>
      <c r="G449" s="288"/>
      <c r="I449" s="288"/>
      <c r="J449" s="288"/>
      <c r="K449" s="288"/>
    </row>
    <row r="450" spans="1:11">
      <c r="A450" s="287"/>
      <c r="B450" s="288" t="s">
        <v>2750</v>
      </c>
      <c r="C450" s="292" t="s">
        <v>794</v>
      </c>
      <c r="D450" s="293">
        <v>9.43</v>
      </c>
      <c r="E450" s="293">
        <v>2.15</v>
      </c>
      <c r="F450" s="288" t="s">
        <v>2404</v>
      </c>
      <c r="G450" s="288"/>
      <c r="I450" s="288"/>
      <c r="J450" s="288"/>
      <c r="K450" s="288"/>
    </row>
    <row r="451" spans="1:11">
      <c r="A451" s="287" t="s">
        <v>2407</v>
      </c>
      <c r="B451" s="288" t="s">
        <v>2750</v>
      </c>
      <c r="C451" s="292" t="s">
        <v>1184</v>
      </c>
      <c r="D451" s="293">
        <v>9.5500000000000007</v>
      </c>
      <c r="E451" s="293">
        <v>1.99</v>
      </c>
      <c r="F451" s="288" t="s">
        <v>376</v>
      </c>
      <c r="G451" s="288"/>
      <c r="I451" s="288"/>
      <c r="J451" s="288"/>
      <c r="K451" s="288"/>
    </row>
    <row r="452" spans="1:11">
      <c r="A452" s="287"/>
      <c r="B452" s="288" t="s">
        <v>2750</v>
      </c>
      <c r="C452" s="292" t="s">
        <v>1185</v>
      </c>
      <c r="D452" s="288" t="s">
        <v>2090</v>
      </c>
      <c r="E452" s="293">
        <v>2.6</v>
      </c>
      <c r="F452" s="293" t="s">
        <v>332</v>
      </c>
      <c r="G452" s="288"/>
      <c r="I452" s="288"/>
      <c r="J452" s="288"/>
      <c r="K452" s="288"/>
    </row>
    <row r="453" spans="1:11">
      <c r="A453" s="287"/>
      <c r="B453" s="288" t="s">
        <v>2750</v>
      </c>
      <c r="C453" s="292" t="s">
        <v>795</v>
      </c>
      <c r="D453" s="288" t="s">
        <v>2091</v>
      </c>
      <c r="E453" s="293"/>
      <c r="F453" s="288"/>
      <c r="G453" s="288"/>
      <c r="I453" s="288"/>
      <c r="J453" s="288"/>
      <c r="K453" s="288"/>
    </row>
    <row r="454" spans="1:11">
      <c r="A454" s="287"/>
      <c r="B454" s="288" t="s">
        <v>2750</v>
      </c>
      <c r="C454" s="292" t="s">
        <v>1186</v>
      </c>
      <c r="D454" s="293">
        <v>11.41</v>
      </c>
      <c r="E454" s="293">
        <v>2.23</v>
      </c>
      <c r="F454" s="293" t="s">
        <v>3616</v>
      </c>
      <c r="G454" s="288"/>
      <c r="I454" s="288"/>
      <c r="J454" s="288"/>
      <c r="K454" s="288"/>
    </row>
    <row r="455" spans="1:11">
      <c r="A455" s="287"/>
      <c r="B455" s="288" t="s">
        <v>2750</v>
      </c>
      <c r="C455" s="292" t="s">
        <v>1187</v>
      </c>
      <c r="D455" s="288" t="s">
        <v>2092</v>
      </c>
      <c r="E455" s="293">
        <v>1.94</v>
      </c>
      <c r="F455" s="293" t="s">
        <v>2418</v>
      </c>
      <c r="G455" s="288"/>
      <c r="I455" s="288"/>
      <c r="J455" s="288"/>
      <c r="K455" s="288"/>
    </row>
    <row r="456" spans="1:11">
      <c r="A456" s="287"/>
      <c r="B456" s="288" t="s">
        <v>2750</v>
      </c>
      <c r="C456" s="292" t="s">
        <v>1188</v>
      </c>
      <c r="D456" s="288" t="s">
        <v>2093</v>
      </c>
      <c r="E456" s="293">
        <v>1.96</v>
      </c>
      <c r="F456" s="293" t="s">
        <v>352</v>
      </c>
      <c r="G456" s="288"/>
      <c r="I456" s="288"/>
      <c r="J456" s="288"/>
      <c r="K456" s="288"/>
    </row>
    <row r="457" spans="1:11">
      <c r="A457" s="287"/>
      <c r="B457" s="288" t="s">
        <v>2750</v>
      </c>
      <c r="C457" s="292" t="s">
        <v>1189</v>
      </c>
      <c r="D457" s="293">
        <v>11.78</v>
      </c>
      <c r="E457" s="293">
        <v>1.98</v>
      </c>
      <c r="F457" s="293" t="s">
        <v>3647</v>
      </c>
      <c r="G457" s="288"/>
      <c r="I457" s="288"/>
      <c r="J457" s="288"/>
      <c r="K457" s="288"/>
    </row>
    <row r="458" spans="1:11">
      <c r="A458" s="287" t="s">
        <v>2407</v>
      </c>
      <c r="B458" s="288" t="s">
        <v>2750</v>
      </c>
      <c r="C458" s="292" t="s">
        <v>4027</v>
      </c>
      <c r="D458" s="293">
        <v>11.93</v>
      </c>
      <c r="E458" s="293">
        <v>1.81</v>
      </c>
      <c r="F458" s="293" t="s">
        <v>366</v>
      </c>
      <c r="G458" s="288"/>
      <c r="I458" s="288"/>
      <c r="J458" s="288"/>
      <c r="K458" s="288"/>
    </row>
    <row r="459" spans="1:11">
      <c r="A459" s="287"/>
      <c r="B459" s="288" t="s">
        <v>2750</v>
      </c>
      <c r="C459" s="292" t="s">
        <v>4026</v>
      </c>
      <c r="D459" s="293">
        <v>11.93</v>
      </c>
      <c r="E459" s="293">
        <v>2.38</v>
      </c>
      <c r="F459" s="293" t="s">
        <v>366</v>
      </c>
      <c r="G459" s="288"/>
      <c r="I459" s="293"/>
      <c r="J459" s="293"/>
      <c r="K459" s="293"/>
    </row>
    <row r="460" spans="1:11">
      <c r="A460" s="287"/>
      <c r="B460" s="288" t="s">
        <v>2750</v>
      </c>
      <c r="C460" s="292" t="s">
        <v>796</v>
      </c>
      <c r="D460" s="293">
        <v>12.41</v>
      </c>
      <c r="E460" s="293">
        <v>2.6</v>
      </c>
      <c r="F460" s="293" t="s">
        <v>2404</v>
      </c>
      <c r="G460" s="288"/>
      <c r="I460" s="293"/>
      <c r="J460" s="293"/>
      <c r="K460" s="293"/>
    </row>
    <row r="461" spans="1:11">
      <c r="A461" s="287"/>
      <c r="B461" s="288" t="s">
        <v>2750</v>
      </c>
      <c r="C461" s="292" t="s">
        <v>1190</v>
      </c>
      <c r="D461" s="293">
        <v>11.8</v>
      </c>
      <c r="E461" s="293">
        <v>2.9</v>
      </c>
      <c r="F461" s="288" t="s">
        <v>339</v>
      </c>
      <c r="G461" s="288"/>
      <c r="I461" s="288"/>
      <c r="J461" s="288"/>
      <c r="K461" s="288"/>
    </row>
    <row r="462" spans="1:11">
      <c r="A462" s="287" t="s">
        <v>2407</v>
      </c>
      <c r="B462" s="288" t="s">
        <v>2750</v>
      </c>
      <c r="C462" s="292" t="s">
        <v>1191</v>
      </c>
      <c r="D462" s="293">
        <v>12.75</v>
      </c>
      <c r="E462" s="293">
        <v>2.5499999999999998</v>
      </c>
      <c r="F462" s="288" t="s">
        <v>2427</v>
      </c>
      <c r="G462" s="288"/>
      <c r="I462" s="288"/>
      <c r="J462" s="288"/>
      <c r="K462" s="288"/>
    </row>
    <row r="463" spans="1:11">
      <c r="A463" s="287"/>
      <c r="B463" s="288" t="s">
        <v>2750</v>
      </c>
      <c r="C463" s="292" t="s">
        <v>1192</v>
      </c>
      <c r="D463" s="293">
        <v>13.11</v>
      </c>
      <c r="E463" s="293">
        <v>2.42</v>
      </c>
      <c r="F463" s="293" t="s">
        <v>355</v>
      </c>
      <c r="G463" s="288"/>
      <c r="H463" s="296"/>
      <c r="I463" s="293"/>
      <c r="J463" s="293"/>
      <c r="K463" s="293"/>
    </row>
    <row r="464" spans="1:11">
      <c r="A464" s="287"/>
      <c r="B464" s="288" t="s">
        <v>2750</v>
      </c>
      <c r="C464" s="292" t="s">
        <v>797</v>
      </c>
      <c r="D464" s="293">
        <v>13.8</v>
      </c>
      <c r="E464" s="293">
        <v>2.91</v>
      </c>
      <c r="F464" s="293" t="s">
        <v>2404</v>
      </c>
      <c r="G464" s="288"/>
      <c r="H464" s="296"/>
      <c r="I464" s="288"/>
      <c r="J464" s="288"/>
      <c r="K464" s="288"/>
    </row>
    <row r="465" spans="1:11">
      <c r="A465" s="287"/>
      <c r="B465" s="288" t="s">
        <v>2750</v>
      </c>
      <c r="C465" s="292" t="s">
        <v>1193</v>
      </c>
      <c r="D465" s="293">
        <v>15.83</v>
      </c>
      <c r="E465" s="293">
        <v>3.22</v>
      </c>
      <c r="F465" s="293" t="s">
        <v>364</v>
      </c>
      <c r="G465" s="288"/>
      <c r="I465" s="293"/>
      <c r="J465" s="293"/>
      <c r="K465" s="293"/>
    </row>
    <row r="466" spans="1:11">
      <c r="A466" s="287"/>
      <c r="B466" s="288" t="s">
        <v>2750</v>
      </c>
      <c r="C466" s="292" t="s">
        <v>1194</v>
      </c>
      <c r="D466" s="293">
        <v>15.79</v>
      </c>
      <c r="E466" s="293">
        <v>3.3</v>
      </c>
      <c r="F466" s="293" t="s">
        <v>364</v>
      </c>
      <c r="G466" s="288"/>
      <c r="I466" s="288"/>
      <c r="J466" s="288"/>
      <c r="K466" s="288"/>
    </row>
    <row r="467" spans="1:11">
      <c r="A467" s="287"/>
      <c r="B467" s="288" t="s">
        <v>2750</v>
      </c>
      <c r="C467" s="292" t="s">
        <v>1195</v>
      </c>
      <c r="D467" s="293">
        <v>7.22</v>
      </c>
      <c r="E467" s="293">
        <v>1.4</v>
      </c>
      <c r="F467" s="293" t="s">
        <v>2422</v>
      </c>
      <c r="G467" s="293"/>
      <c r="H467" s="296"/>
      <c r="I467" s="288"/>
      <c r="J467" s="288"/>
      <c r="K467" s="288"/>
    </row>
    <row r="468" spans="1:11">
      <c r="A468" s="287"/>
      <c r="B468" s="288" t="s">
        <v>2750</v>
      </c>
      <c r="C468" s="292" t="s">
        <v>1196</v>
      </c>
      <c r="D468" s="293">
        <v>9.44</v>
      </c>
      <c r="E468" s="293">
        <v>1.61</v>
      </c>
      <c r="F468" s="293" t="s">
        <v>352</v>
      </c>
      <c r="G468" s="293"/>
      <c r="I468" s="288"/>
      <c r="J468" s="288"/>
      <c r="K468" s="288"/>
    </row>
    <row r="469" spans="1:11">
      <c r="A469" s="287"/>
      <c r="B469" s="288" t="s">
        <v>2750</v>
      </c>
      <c r="C469" s="292" t="s">
        <v>1197</v>
      </c>
      <c r="D469" s="293">
        <v>19.739999999999998</v>
      </c>
      <c r="E469" s="293">
        <v>3.05</v>
      </c>
      <c r="F469" s="293" t="s">
        <v>364</v>
      </c>
      <c r="G469" s="288"/>
      <c r="H469" s="296"/>
      <c r="I469" s="288"/>
      <c r="J469" s="288"/>
      <c r="K469" s="288"/>
    </row>
    <row r="470" spans="1:11">
      <c r="A470" s="287"/>
      <c r="B470" s="288" t="s">
        <v>2750</v>
      </c>
      <c r="C470" s="292" t="s">
        <v>1198</v>
      </c>
      <c r="D470" s="288" t="s">
        <v>2094</v>
      </c>
      <c r="E470" s="293">
        <v>1.75</v>
      </c>
      <c r="F470" s="293" t="s">
        <v>2405</v>
      </c>
      <c r="G470" s="288"/>
      <c r="I470" s="288"/>
      <c r="J470" s="288"/>
      <c r="K470" s="288"/>
    </row>
    <row r="471" spans="1:11">
      <c r="A471" s="287"/>
      <c r="B471" s="288" t="s">
        <v>2751</v>
      </c>
      <c r="C471" s="292" t="s">
        <v>1200</v>
      </c>
      <c r="D471" s="293">
        <v>10.4</v>
      </c>
      <c r="E471" s="293">
        <v>1.8</v>
      </c>
      <c r="F471" s="293" t="s">
        <v>355</v>
      </c>
      <c r="G471" s="293"/>
      <c r="I471" s="288"/>
      <c r="J471" s="288"/>
      <c r="K471" s="288"/>
    </row>
    <row r="472" spans="1:11">
      <c r="A472" s="287"/>
      <c r="B472" s="288" t="s">
        <v>2751</v>
      </c>
      <c r="C472" s="292" t="s">
        <v>1201</v>
      </c>
      <c r="D472" s="293">
        <v>10.81</v>
      </c>
      <c r="E472" s="293">
        <v>1.81</v>
      </c>
      <c r="F472" s="293" t="s">
        <v>3069</v>
      </c>
      <c r="G472" s="288"/>
      <c r="I472" s="288"/>
      <c r="J472" s="288"/>
      <c r="K472" s="288"/>
    </row>
    <row r="473" spans="1:11">
      <c r="A473" s="287"/>
      <c r="B473" s="288" t="s">
        <v>2751</v>
      </c>
      <c r="C473" s="292" t="s">
        <v>1202</v>
      </c>
      <c r="D473" s="288" t="s">
        <v>2096</v>
      </c>
      <c r="E473" s="293">
        <v>1.7</v>
      </c>
      <c r="F473" s="293" t="s">
        <v>347</v>
      </c>
      <c r="G473" s="293"/>
      <c r="I473" s="288"/>
      <c r="J473" s="288"/>
      <c r="K473" s="288"/>
    </row>
    <row r="474" spans="1:11">
      <c r="A474" s="287"/>
      <c r="B474" s="288" t="s">
        <v>2751</v>
      </c>
      <c r="C474" s="292" t="s">
        <v>1203</v>
      </c>
      <c r="D474" s="288" t="s">
        <v>2097</v>
      </c>
      <c r="E474" s="293">
        <v>1.65</v>
      </c>
      <c r="F474" s="293" t="s">
        <v>352</v>
      </c>
      <c r="G474" s="288"/>
      <c r="I474" s="288"/>
      <c r="J474" s="288"/>
      <c r="K474" s="288"/>
    </row>
    <row r="475" spans="1:11">
      <c r="A475" s="287"/>
      <c r="B475" s="288" t="s">
        <v>2751</v>
      </c>
      <c r="C475" s="292" t="s">
        <v>1204</v>
      </c>
      <c r="D475" s="293">
        <v>12.22</v>
      </c>
      <c r="E475" s="293">
        <v>1.95</v>
      </c>
      <c r="F475" s="293" t="s">
        <v>352</v>
      </c>
      <c r="G475" s="288"/>
      <c r="I475" s="293"/>
      <c r="J475" s="293"/>
      <c r="K475" s="293"/>
    </row>
    <row r="476" spans="1:11">
      <c r="A476" s="287"/>
      <c r="B476" s="288" t="s">
        <v>2751</v>
      </c>
      <c r="C476" s="292" t="s">
        <v>1205</v>
      </c>
      <c r="D476" s="288" t="s">
        <v>2098</v>
      </c>
      <c r="E476" s="293">
        <v>2.0499999999999998</v>
      </c>
      <c r="F476" s="293" t="s">
        <v>352</v>
      </c>
      <c r="G476" s="288"/>
      <c r="I476" s="288"/>
      <c r="J476" s="288"/>
      <c r="K476" s="288"/>
    </row>
    <row r="477" spans="1:11">
      <c r="A477" s="287"/>
      <c r="B477" s="288" t="s">
        <v>2751</v>
      </c>
      <c r="C477" s="292" t="s">
        <v>1206</v>
      </c>
      <c r="D477" s="293">
        <v>9.2799999999999994</v>
      </c>
      <c r="E477" s="293">
        <v>1.7</v>
      </c>
      <c r="F477" s="293" t="s">
        <v>328</v>
      </c>
      <c r="G477" s="288"/>
      <c r="I477" s="288"/>
      <c r="J477" s="288"/>
      <c r="K477" s="288"/>
    </row>
    <row r="478" spans="1:11">
      <c r="A478" s="287"/>
      <c r="B478" s="288" t="s">
        <v>2752</v>
      </c>
      <c r="C478" s="292" t="s">
        <v>1207</v>
      </c>
      <c r="D478" s="293">
        <v>11.01</v>
      </c>
      <c r="E478" s="293">
        <v>1.99</v>
      </c>
      <c r="F478" s="288" t="s">
        <v>2405</v>
      </c>
      <c r="G478" s="288"/>
      <c r="I478" s="293"/>
      <c r="J478" s="293"/>
      <c r="K478" s="293"/>
    </row>
    <row r="479" spans="1:11">
      <c r="A479" s="287"/>
      <c r="B479" s="288" t="s">
        <v>2752</v>
      </c>
      <c r="C479" s="292" t="s">
        <v>1208</v>
      </c>
      <c r="D479" s="288" t="s">
        <v>2099</v>
      </c>
      <c r="E479" s="293">
        <v>1.77</v>
      </c>
      <c r="F479" s="293" t="s">
        <v>2442</v>
      </c>
      <c r="G479" s="288"/>
      <c r="H479" s="296"/>
      <c r="I479" s="288"/>
      <c r="J479" s="288"/>
      <c r="K479" s="288"/>
    </row>
    <row r="480" spans="1:11">
      <c r="A480" s="287"/>
      <c r="B480" s="288" t="s">
        <v>2753</v>
      </c>
      <c r="C480" s="292" t="s">
        <v>798</v>
      </c>
      <c r="D480" s="293">
        <v>10.1</v>
      </c>
      <c r="E480" s="293">
        <v>2.1</v>
      </c>
      <c r="F480" s="293" t="s">
        <v>332</v>
      </c>
      <c r="G480" s="288"/>
      <c r="I480" s="288"/>
      <c r="J480" s="288"/>
      <c r="K480" s="288"/>
    </row>
    <row r="481" spans="1:11">
      <c r="A481" s="287"/>
      <c r="B481" s="288" t="s">
        <v>2753</v>
      </c>
      <c r="C481" s="292" t="s">
        <v>1209</v>
      </c>
      <c r="D481" s="293">
        <v>9.14</v>
      </c>
      <c r="E481" s="293">
        <v>1.8</v>
      </c>
      <c r="F481" s="293" t="s">
        <v>2405</v>
      </c>
      <c r="G481" s="288"/>
      <c r="I481" s="293"/>
      <c r="J481" s="293"/>
      <c r="K481" s="293"/>
    </row>
    <row r="482" spans="1:11">
      <c r="A482" s="287"/>
      <c r="B482" s="288" t="s">
        <v>2947</v>
      </c>
      <c r="C482" s="292" t="s">
        <v>1210</v>
      </c>
      <c r="D482" s="293">
        <v>10.130000000000001</v>
      </c>
      <c r="E482" s="293">
        <v>1.8</v>
      </c>
      <c r="F482" s="288" t="s">
        <v>332</v>
      </c>
      <c r="G482" s="288"/>
      <c r="H482" s="296"/>
      <c r="I482" s="288"/>
      <c r="J482" s="288"/>
      <c r="K482" s="288"/>
    </row>
    <row r="483" spans="1:11">
      <c r="A483" s="287"/>
      <c r="B483" s="288" t="s">
        <v>2947</v>
      </c>
      <c r="C483" s="292" t="s">
        <v>1211</v>
      </c>
      <c r="D483" s="293">
        <v>10.130000000000001</v>
      </c>
      <c r="E483" s="293">
        <v>1.8</v>
      </c>
      <c r="F483" s="288" t="s">
        <v>334</v>
      </c>
      <c r="G483" s="293"/>
      <c r="I483" s="288"/>
      <c r="J483" s="288"/>
      <c r="K483" s="288"/>
    </row>
    <row r="484" spans="1:11">
      <c r="A484" s="287"/>
      <c r="B484" s="288" t="s">
        <v>2947</v>
      </c>
      <c r="C484" s="292" t="s">
        <v>1212</v>
      </c>
      <c r="D484" s="293">
        <v>11.25</v>
      </c>
      <c r="E484" s="293">
        <v>2</v>
      </c>
      <c r="F484" s="293" t="s">
        <v>344</v>
      </c>
      <c r="G484" s="288"/>
      <c r="I484" s="288"/>
      <c r="J484" s="288"/>
      <c r="K484" s="288"/>
    </row>
    <row r="485" spans="1:11">
      <c r="A485" s="287"/>
      <c r="B485" s="288" t="s">
        <v>2947</v>
      </c>
      <c r="C485" s="292" t="s">
        <v>1213</v>
      </c>
      <c r="D485" s="292">
        <v>12.52</v>
      </c>
      <c r="E485" s="293">
        <v>2.11</v>
      </c>
      <c r="F485" s="288" t="s">
        <v>332</v>
      </c>
      <c r="G485" s="288"/>
      <c r="H485" s="296"/>
      <c r="I485" s="288"/>
      <c r="J485" s="288"/>
      <c r="K485" s="288"/>
    </row>
    <row r="486" spans="1:11">
      <c r="A486" s="287"/>
      <c r="B486" s="288" t="s">
        <v>2947</v>
      </c>
      <c r="C486" s="292" t="s">
        <v>1214</v>
      </c>
      <c r="D486" s="293">
        <v>13.1</v>
      </c>
      <c r="E486" s="293">
        <v>2.2000000000000002</v>
      </c>
      <c r="F486" s="288" t="s">
        <v>334</v>
      </c>
      <c r="G486" s="293"/>
      <c r="I486" s="288"/>
      <c r="J486" s="288"/>
      <c r="K486" s="288"/>
    </row>
    <row r="487" spans="1:11">
      <c r="A487" s="287"/>
      <c r="B487" s="288" t="s">
        <v>2947</v>
      </c>
      <c r="C487" s="292" t="s">
        <v>1215</v>
      </c>
      <c r="D487" s="293">
        <v>14.01</v>
      </c>
      <c r="E487" s="293">
        <v>2.65</v>
      </c>
      <c r="F487" s="288" t="s">
        <v>2410</v>
      </c>
      <c r="G487" s="288"/>
      <c r="I487" s="288"/>
      <c r="J487" s="288"/>
      <c r="K487" s="288"/>
    </row>
    <row r="488" spans="1:11">
      <c r="A488" s="287"/>
      <c r="B488" s="288" t="s">
        <v>2948</v>
      </c>
      <c r="C488" s="292" t="s">
        <v>2963</v>
      </c>
      <c r="D488" s="293">
        <v>9.0500000000000007</v>
      </c>
      <c r="E488" s="293">
        <v>1.46</v>
      </c>
      <c r="F488" s="293" t="s">
        <v>352</v>
      </c>
      <c r="G488" s="288"/>
      <c r="I488" s="293"/>
      <c r="J488" s="293"/>
      <c r="K488" s="293"/>
    </row>
    <row r="489" spans="1:11">
      <c r="A489" s="287"/>
      <c r="B489" s="288" t="s">
        <v>2948</v>
      </c>
      <c r="C489" s="292" t="s">
        <v>4239</v>
      </c>
      <c r="D489" s="293">
        <v>9.5500000000000007</v>
      </c>
      <c r="E489" s="288" t="s">
        <v>327</v>
      </c>
      <c r="F489" s="293" t="s">
        <v>2435</v>
      </c>
      <c r="G489" s="293"/>
      <c r="I489" s="288"/>
      <c r="J489" s="288"/>
      <c r="K489" s="288"/>
    </row>
    <row r="490" spans="1:11">
      <c r="A490" s="287"/>
      <c r="B490" s="288" t="s">
        <v>2948</v>
      </c>
      <c r="C490" s="292" t="s">
        <v>4240</v>
      </c>
      <c r="D490" s="293">
        <v>10.87</v>
      </c>
      <c r="E490" s="293">
        <v>1.81</v>
      </c>
      <c r="F490" s="293" t="s">
        <v>347</v>
      </c>
      <c r="G490" s="288"/>
      <c r="I490" s="288"/>
      <c r="J490" s="288"/>
      <c r="K490" s="288"/>
    </row>
    <row r="491" spans="1:11">
      <c r="A491" s="287"/>
      <c r="B491" s="288" t="s">
        <v>2948</v>
      </c>
      <c r="C491" s="292" t="s">
        <v>4241</v>
      </c>
      <c r="D491" s="293">
        <v>11.85</v>
      </c>
      <c r="E491" s="293">
        <v>2</v>
      </c>
      <c r="F491" s="293" t="s">
        <v>3069</v>
      </c>
      <c r="G491" s="288"/>
      <c r="I491" s="288"/>
      <c r="J491" s="288"/>
      <c r="K491" s="288"/>
    </row>
    <row r="492" spans="1:11">
      <c r="A492" s="287"/>
      <c r="B492" s="288" t="s">
        <v>2948</v>
      </c>
      <c r="C492" s="292" t="s">
        <v>2964</v>
      </c>
      <c r="D492" s="293">
        <v>12.15</v>
      </c>
      <c r="E492" s="293">
        <v>1.87</v>
      </c>
      <c r="F492" s="293" t="s">
        <v>2406</v>
      </c>
      <c r="G492" s="288"/>
      <c r="H492" s="296"/>
      <c r="I492" s="288"/>
      <c r="J492" s="288"/>
      <c r="K492" s="288"/>
    </row>
    <row r="493" spans="1:11">
      <c r="A493" s="287"/>
      <c r="B493" s="288" t="s">
        <v>2948</v>
      </c>
      <c r="C493" s="292" t="s">
        <v>4242</v>
      </c>
      <c r="D493" s="293">
        <v>12.15</v>
      </c>
      <c r="E493" s="293">
        <v>2.25</v>
      </c>
      <c r="F493" s="293" t="s">
        <v>2406</v>
      </c>
      <c r="G493" s="288"/>
      <c r="I493" s="288"/>
      <c r="J493" s="288"/>
      <c r="K493" s="288"/>
    </row>
    <row r="494" spans="1:11">
      <c r="A494" s="287"/>
      <c r="B494" s="288" t="s">
        <v>2948</v>
      </c>
      <c r="C494" s="292" t="s">
        <v>4243</v>
      </c>
      <c r="D494" s="288" t="s">
        <v>2122</v>
      </c>
      <c r="E494" s="293">
        <v>1.7</v>
      </c>
      <c r="F494" s="293" t="s">
        <v>2424</v>
      </c>
      <c r="G494" s="288"/>
      <c r="I494" s="288"/>
      <c r="J494" s="288"/>
      <c r="K494" s="288"/>
    </row>
    <row r="495" spans="1:11">
      <c r="A495" s="287"/>
      <c r="B495" s="288" t="s">
        <v>2948</v>
      </c>
      <c r="C495" s="292" t="s">
        <v>4244</v>
      </c>
      <c r="D495" s="293">
        <v>13.11</v>
      </c>
      <c r="E495" s="293">
        <v>2.19</v>
      </c>
      <c r="F495" s="293" t="s">
        <v>347</v>
      </c>
      <c r="G495" s="288"/>
      <c r="I495" s="288"/>
      <c r="J495" s="288"/>
      <c r="K495" s="288"/>
    </row>
    <row r="496" spans="1:11">
      <c r="A496" s="287"/>
      <c r="B496" s="288" t="s">
        <v>2948</v>
      </c>
      <c r="C496" s="292" t="s">
        <v>4245</v>
      </c>
      <c r="D496" s="293">
        <v>7.39</v>
      </c>
      <c r="E496" s="293">
        <v>1.5</v>
      </c>
      <c r="F496" s="293" t="s">
        <v>355</v>
      </c>
      <c r="G496" s="293"/>
      <c r="I496" s="288"/>
      <c r="J496" s="288"/>
      <c r="K496" s="288"/>
    </row>
    <row r="497" spans="1:11">
      <c r="A497" s="287"/>
      <c r="B497" s="288" t="s">
        <v>2948</v>
      </c>
      <c r="C497" s="292" t="s">
        <v>552</v>
      </c>
      <c r="D497" s="288" t="s">
        <v>553</v>
      </c>
      <c r="E497" s="288" t="s">
        <v>1737</v>
      </c>
      <c r="F497" s="288" t="s">
        <v>2418</v>
      </c>
      <c r="G497" s="288"/>
      <c r="I497" s="288"/>
      <c r="J497" s="288"/>
      <c r="K497" s="288"/>
    </row>
    <row r="498" spans="1:11">
      <c r="A498" s="287"/>
      <c r="B498" s="288" t="s">
        <v>2948</v>
      </c>
      <c r="C498" s="292" t="s">
        <v>4246</v>
      </c>
      <c r="D498" s="293">
        <v>9.0500000000000007</v>
      </c>
      <c r="E498" s="293">
        <v>1.7</v>
      </c>
      <c r="F498" s="293" t="s">
        <v>3616</v>
      </c>
      <c r="G498" s="288"/>
      <c r="I498" s="288"/>
      <c r="J498" s="288"/>
      <c r="K498" s="288"/>
    </row>
    <row r="499" spans="1:11">
      <c r="A499" s="287"/>
      <c r="B499" s="288" t="s">
        <v>2948</v>
      </c>
      <c r="C499" s="292" t="s">
        <v>4247</v>
      </c>
      <c r="D499" s="293">
        <v>7.89</v>
      </c>
      <c r="E499" s="293">
        <v>1.53</v>
      </c>
      <c r="F499" s="293" t="s">
        <v>2418</v>
      </c>
      <c r="G499" s="288"/>
      <c r="I499" s="288"/>
      <c r="J499" s="288"/>
      <c r="K499" s="288"/>
    </row>
    <row r="500" spans="1:11">
      <c r="A500" s="287"/>
      <c r="B500" s="288" t="s">
        <v>2949</v>
      </c>
      <c r="C500" s="292" t="s">
        <v>4254</v>
      </c>
      <c r="D500" s="288" t="s">
        <v>2123</v>
      </c>
      <c r="E500" s="293">
        <v>1.98</v>
      </c>
      <c r="F500" s="293" t="s">
        <v>364</v>
      </c>
      <c r="G500" s="288"/>
      <c r="I500" s="288"/>
      <c r="J500" s="288"/>
      <c r="K500" s="288"/>
    </row>
    <row r="501" spans="1:11">
      <c r="A501" s="287"/>
      <c r="B501" s="288" t="s">
        <v>2949</v>
      </c>
      <c r="C501" s="292" t="s">
        <v>4255</v>
      </c>
      <c r="D501" s="288" t="s">
        <v>2123</v>
      </c>
      <c r="E501" s="293">
        <v>1.98</v>
      </c>
      <c r="F501" s="293" t="s">
        <v>364</v>
      </c>
      <c r="G501" s="288"/>
      <c r="I501" s="288"/>
      <c r="J501" s="288"/>
      <c r="K501" s="288"/>
    </row>
    <row r="502" spans="1:11">
      <c r="A502" s="287"/>
      <c r="B502" s="288" t="s">
        <v>2949</v>
      </c>
      <c r="C502" s="292" t="s">
        <v>4256</v>
      </c>
      <c r="D502" s="288" t="s">
        <v>2124</v>
      </c>
      <c r="E502" s="293">
        <v>1.8</v>
      </c>
      <c r="F502" s="293" t="s">
        <v>3616</v>
      </c>
      <c r="G502" s="288"/>
      <c r="I502" s="288"/>
      <c r="J502" s="288"/>
      <c r="K502" s="288"/>
    </row>
    <row r="503" spans="1:11">
      <c r="A503" s="287"/>
      <c r="B503" s="288" t="s">
        <v>2949</v>
      </c>
      <c r="C503" s="292" t="s">
        <v>4257</v>
      </c>
      <c r="D503" s="288" t="s">
        <v>2042</v>
      </c>
      <c r="E503" s="293">
        <v>2.0499999999999998</v>
      </c>
      <c r="F503" s="293" t="s">
        <v>2404</v>
      </c>
      <c r="G503" s="288"/>
      <c r="I503" s="288"/>
      <c r="J503" s="288"/>
      <c r="K503" s="288"/>
    </row>
    <row r="504" spans="1:11">
      <c r="A504" s="287"/>
      <c r="B504" s="288" t="s">
        <v>2949</v>
      </c>
      <c r="C504" s="292" t="s">
        <v>2966</v>
      </c>
      <c r="D504" s="288" t="s">
        <v>2042</v>
      </c>
      <c r="E504" s="293">
        <v>1.8</v>
      </c>
      <c r="F504" s="293" t="s">
        <v>2412</v>
      </c>
      <c r="G504" s="288"/>
      <c r="I504" s="288"/>
      <c r="J504" s="288"/>
      <c r="K504" s="288"/>
    </row>
    <row r="505" spans="1:11">
      <c r="A505" s="287"/>
      <c r="B505" s="288" t="s">
        <v>2949</v>
      </c>
      <c r="C505" s="292" t="s">
        <v>2965</v>
      </c>
      <c r="D505" s="288" t="s">
        <v>2042</v>
      </c>
      <c r="E505" s="293">
        <v>2.4</v>
      </c>
      <c r="F505" s="293" t="s">
        <v>2412</v>
      </c>
      <c r="G505" s="288"/>
      <c r="I505" s="288"/>
      <c r="J505" s="288"/>
      <c r="K505" s="288"/>
    </row>
    <row r="506" spans="1:11">
      <c r="A506" s="287"/>
      <c r="B506" s="288" t="s">
        <v>2949</v>
      </c>
      <c r="C506" s="292" t="s">
        <v>430</v>
      </c>
      <c r="D506" s="288" t="s">
        <v>1333</v>
      </c>
      <c r="E506" s="288" t="s">
        <v>431</v>
      </c>
      <c r="F506" s="288" t="s">
        <v>330</v>
      </c>
      <c r="G506" s="288"/>
      <c r="I506" s="288"/>
      <c r="J506" s="288"/>
      <c r="K506" s="288"/>
    </row>
    <row r="507" spans="1:11">
      <c r="A507" s="287"/>
      <c r="B507" s="288" t="s">
        <v>2949</v>
      </c>
      <c r="C507" s="292" t="s">
        <v>434</v>
      </c>
      <c r="D507" s="288" t="s">
        <v>1331</v>
      </c>
      <c r="E507" s="288" t="s">
        <v>432</v>
      </c>
      <c r="F507" s="288" t="s">
        <v>328</v>
      </c>
      <c r="G507" s="288"/>
      <c r="I507" s="288"/>
      <c r="J507" s="288"/>
      <c r="K507" s="288"/>
    </row>
    <row r="508" spans="1:11">
      <c r="A508" s="287"/>
      <c r="B508" s="288" t="s">
        <v>2949</v>
      </c>
      <c r="C508" s="292" t="s">
        <v>435</v>
      </c>
      <c r="D508" s="288" t="s">
        <v>1331</v>
      </c>
      <c r="E508" s="288" t="s">
        <v>433</v>
      </c>
      <c r="F508" s="288" t="s">
        <v>328</v>
      </c>
      <c r="G508" s="288"/>
      <c r="I508" s="293"/>
      <c r="J508" s="293"/>
      <c r="K508" s="293"/>
    </row>
    <row r="509" spans="1:11">
      <c r="A509" s="287"/>
      <c r="B509" s="288" t="s">
        <v>2949</v>
      </c>
      <c r="C509" s="292" t="s">
        <v>4794</v>
      </c>
      <c r="D509" s="288" t="s">
        <v>436</v>
      </c>
      <c r="E509" s="288" t="s">
        <v>437</v>
      </c>
      <c r="F509" s="288" t="s">
        <v>339</v>
      </c>
      <c r="G509" s="288"/>
      <c r="I509" s="293"/>
      <c r="J509" s="293"/>
      <c r="K509" s="293"/>
    </row>
    <row r="510" spans="1:11">
      <c r="A510" s="287"/>
      <c r="B510" s="288" t="s">
        <v>2949</v>
      </c>
      <c r="C510" s="292" t="s">
        <v>4795</v>
      </c>
      <c r="D510" s="288" t="s">
        <v>436</v>
      </c>
      <c r="E510" s="288" t="s">
        <v>437</v>
      </c>
      <c r="F510" s="288" t="s">
        <v>339</v>
      </c>
      <c r="G510" s="288"/>
      <c r="I510" s="293"/>
      <c r="J510" s="293"/>
      <c r="K510" s="293"/>
    </row>
    <row r="511" spans="1:11">
      <c r="A511" s="287"/>
      <c r="B511" s="288" t="s">
        <v>2949</v>
      </c>
      <c r="C511" s="292" t="s">
        <v>2967</v>
      </c>
      <c r="D511" s="288" t="s">
        <v>2043</v>
      </c>
      <c r="E511" s="293">
        <v>2.4</v>
      </c>
      <c r="F511" s="293" t="s">
        <v>366</v>
      </c>
      <c r="G511" s="288"/>
      <c r="I511" s="293"/>
      <c r="J511" s="293"/>
      <c r="K511" s="293"/>
    </row>
    <row r="512" spans="1:11">
      <c r="A512" s="287"/>
      <c r="B512" s="288" t="s">
        <v>2949</v>
      </c>
      <c r="C512" s="292" t="s">
        <v>2968</v>
      </c>
      <c r="D512" s="293">
        <v>12.12</v>
      </c>
      <c r="E512" s="293">
        <v>2.4</v>
      </c>
      <c r="F512" s="288" t="s">
        <v>2427</v>
      </c>
      <c r="G512" s="288"/>
      <c r="H512" s="296"/>
      <c r="I512" s="293"/>
      <c r="J512" s="293"/>
      <c r="K512" s="288"/>
    </row>
    <row r="513" spans="1:11">
      <c r="A513" s="287"/>
      <c r="B513" s="288" t="s">
        <v>2949</v>
      </c>
      <c r="C513" s="292" t="s">
        <v>2969</v>
      </c>
      <c r="D513" s="288" t="s">
        <v>2043</v>
      </c>
      <c r="E513" s="293">
        <v>2.15</v>
      </c>
      <c r="F513" s="293" t="s">
        <v>366</v>
      </c>
      <c r="G513" s="288"/>
      <c r="H513" s="296"/>
      <c r="I513" s="293"/>
      <c r="J513" s="293"/>
      <c r="K513" s="288"/>
    </row>
    <row r="514" spans="1:11">
      <c r="A514" s="287"/>
      <c r="B514" s="288" t="s">
        <v>2949</v>
      </c>
      <c r="C514" s="292" t="s">
        <v>2970</v>
      </c>
      <c r="D514" s="293">
        <v>12.18</v>
      </c>
      <c r="E514" s="293">
        <v>2.4300000000000002</v>
      </c>
      <c r="F514" s="293" t="s">
        <v>2442</v>
      </c>
      <c r="G514" s="288"/>
      <c r="H514" s="296"/>
      <c r="I514" s="293"/>
      <c r="J514" s="293"/>
      <c r="K514" s="293"/>
    </row>
    <row r="515" spans="1:11">
      <c r="A515" s="287"/>
      <c r="B515" s="288" t="s">
        <v>2949</v>
      </c>
      <c r="C515" s="292" t="s">
        <v>2971</v>
      </c>
      <c r="D515" s="288" t="s">
        <v>2125</v>
      </c>
      <c r="E515" s="293">
        <v>2.5499999999999998</v>
      </c>
      <c r="F515" s="293" t="s">
        <v>2410</v>
      </c>
      <c r="G515" s="288"/>
      <c r="H515" s="296"/>
      <c r="I515" s="288"/>
      <c r="J515" s="288"/>
      <c r="K515" s="288"/>
    </row>
    <row r="516" spans="1:11">
      <c r="A516" s="287"/>
      <c r="B516" s="288" t="s">
        <v>2949</v>
      </c>
      <c r="C516" s="292" t="s">
        <v>2972</v>
      </c>
      <c r="D516" s="288" t="s">
        <v>2126</v>
      </c>
      <c r="E516" s="293">
        <v>2.1</v>
      </c>
      <c r="F516" s="293" t="s">
        <v>2409</v>
      </c>
      <c r="G516" s="293"/>
      <c r="H516" s="296"/>
      <c r="I516" s="288"/>
      <c r="J516" s="288"/>
      <c r="K516" s="288"/>
    </row>
    <row r="517" spans="1:11">
      <c r="A517" s="287"/>
      <c r="B517" s="288" t="s">
        <v>2949</v>
      </c>
      <c r="C517" s="292" t="s">
        <v>2973</v>
      </c>
      <c r="D517" s="293">
        <v>12.92</v>
      </c>
      <c r="E517" s="293">
        <v>2.5</v>
      </c>
      <c r="F517" s="293" t="s">
        <v>2412</v>
      </c>
      <c r="G517" s="293"/>
      <c r="H517" s="296"/>
      <c r="I517" s="288"/>
      <c r="J517" s="288"/>
      <c r="K517" s="288"/>
    </row>
    <row r="518" spans="1:11">
      <c r="A518" s="287"/>
      <c r="B518" s="288" t="s">
        <v>2949</v>
      </c>
      <c r="C518" s="292" t="s">
        <v>2974</v>
      </c>
      <c r="D518" s="293">
        <v>12.92</v>
      </c>
      <c r="E518" s="293">
        <v>2.7</v>
      </c>
      <c r="F518" s="293" t="s">
        <v>2412</v>
      </c>
      <c r="G518" s="293"/>
      <c r="H518" s="296"/>
      <c r="I518" s="288"/>
      <c r="J518" s="288"/>
      <c r="K518" s="288"/>
    </row>
    <row r="519" spans="1:11">
      <c r="A519" s="287"/>
      <c r="B519" s="288" t="s">
        <v>2949</v>
      </c>
      <c r="C519" s="292" t="s">
        <v>2975</v>
      </c>
      <c r="D519" s="293">
        <v>13.1</v>
      </c>
      <c r="E519" s="293">
        <v>2.63</v>
      </c>
      <c r="F519" s="293" t="s">
        <v>332</v>
      </c>
      <c r="G519" s="293"/>
      <c r="I519" s="288"/>
      <c r="J519" s="288"/>
      <c r="K519" s="288"/>
    </row>
    <row r="520" spans="1:11">
      <c r="A520" s="287"/>
      <c r="B520" s="288" t="s">
        <v>2949</v>
      </c>
      <c r="C520" s="292" t="s">
        <v>2976</v>
      </c>
      <c r="D520" s="293">
        <v>13.55</v>
      </c>
      <c r="E520" s="293">
        <v>2.2999999999999998</v>
      </c>
      <c r="F520" s="293" t="s">
        <v>2410</v>
      </c>
      <c r="G520" s="293"/>
      <c r="I520" s="288"/>
      <c r="J520" s="288"/>
      <c r="K520" s="288"/>
    </row>
    <row r="521" spans="1:11">
      <c r="A521" s="287"/>
      <c r="B521" s="288" t="s">
        <v>2949</v>
      </c>
      <c r="C521" s="292" t="s">
        <v>2977</v>
      </c>
      <c r="D521" s="288" t="s">
        <v>2127</v>
      </c>
      <c r="E521" s="293">
        <v>2.2000000000000002</v>
      </c>
      <c r="F521" s="293" t="s">
        <v>352</v>
      </c>
      <c r="G521" s="293"/>
      <c r="I521" s="288"/>
      <c r="J521" s="288"/>
      <c r="K521" s="288"/>
    </row>
    <row r="522" spans="1:11">
      <c r="A522" s="287"/>
      <c r="B522" s="288" t="s">
        <v>2949</v>
      </c>
      <c r="C522" s="292" t="s">
        <v>2978</v>
      </c>
      <c r="D522" s="293">
        <v>13.55</v>
      </c>
      <c r="E522" s="293">
        <v>2.7</v>
      </c>
      <c r="F522" s="293" t="s">
        <v>2410</v>
      </c>
      <c r="G522" s="293"/>
      <c r="I522" s="288"/>
      <c r="J522" s="288"/>
      <c r="K522" s="288"/>
    </row>
    <row r="523" spans="1:11">
      <c r="A523" s="287"/>
      <c r="B523" s="288" t="s">
        <v>2949</v>
      </c>
      <c r="C523" s="292" t="s">
        <v>2980</v>
      </c>
      <c r="D523" s="293">
        <v>14.08</v>
      </c>
      <c r="E523" s="293">
        <v>2.5499999999999998</v>
      </c>
      <c r="F523" s="288" t="s">
        <v>334</v>
      </c>
      <c r="G523" s="288"/>
      <c r="I523" s="288"/>
      <c r="J523" s="288"/>
      <c r="K523" s="288"/>
    </row>
    <row r="524" spans="1:11">
      <c r="A524" s="287"/>
      <c r="B524" s="288" t="s">
        <v>2949</v>
      </c>
      <c r="C524" s="292" t="s">
        <v>2979</v>
      </c>
      <c r="D524" s="293">
        <v>14.08</v>
      </c>
      <c r="E524" s="293">
        <v>2.99</v>
      </c>
      <c r="F524" s="288" t="s">
        <v>334</v>
      </c>
      <c r="G524" s="288"/>
      <c r="I524" s="288"/>
      <c r="J524" s="288"/>
      <c r="K524" s="288"/>
    </row>
    <row r="525" spans="1:11">
      <c r="A525" s="287"/>
      <c r="B525" s="288" t="s">
        <v>2949</v>
      </c>
      <c r="C525" s="292" t="s">
        <v>2981</v>
      </c>
      <c r="D525" s="293">
        <v>13.98</v>
      </c>
      <c r="E525" s="293">
        <v>2.23</v>
      </c>
      <c r="F525" s="293" t="s">
        <v>2409</v>
      </c>
      <c r="G525" s="288"/>
      <c r="I525" s="288"/>
      <c r="J525" s="288"/>
      <c r="K525" s="288"/>
    </row>
    <row r="526" spans="1:11">
      <c r="A526" s="287"/>
      <c r="B526" s="288" t="s">
        <v>2949</v>
      </c>
      <c r="C526" s="292" t="s">
        <v>2982</v>
      </c>
      <c r="D526" s="288" t="s">
        <v>2128</v>
      </c>
      <c r="E526" s="293">
        <v>2.16</v>
      </c>
      <c r="F526" s="293" t="s">
        <v>376</v>
      </c>
      <c r="G526" s="288"/>
      <c r="I526" s="288"/>
      <c r="J526" s="288"/>
      <c r="K526" s="288"/>
    </row>
    <row r="527" spans="1:11">
      <c r="A527" s="287"/>
      <c r="B527" s="288" t="s">
        <v>2949</v>
      </c>
      <c r="C527" s="292" t="s">
        <v>438</v>
      </c>
      <c r="D527" s="288" t="s">
        <v>2128</v>
      </c>
      <c r="E527" s="288" t="s">
        <v>439</v>
      </c>
      <c r="F527" s="288" t="s">
        <v>2410</v>
      </c>
      <c r="G527" s="288"/>
      <c r="I527" s="288"/>
      <c r="J527" s="288"/>
      <c r="K527" s="288"/>
    </row>
    <row r="528" spans="1:11">
      <c r="A528" s="287"/>
      <c r="B528" s="288" t="s">
        <v>2949</v>
      </c>
      <c r="C528" s="292" t="s">
        <v>440</v>
      </c>
      <c r="D528" s="288" t="s">
        <v>441</v>
      </c>
      <c r="E528" s="288" t="s">
        <v>442</v>
      </c>
      <c r="F528" s="288" t="s">
        <v>334</v>
      </c>
      <c r="G528" s="288"/>
      <c r="I528" s="288"/>
      <c r="J528" s="288"/>
      <c r="K528" s="288"/>
    </row>
    <row r="529" spans="1:11">
      <c r="A529" s="287"/>
      <c r="B529" s="288" t="s">
        <v>2949</v>
      </c>
      <c r="C529" s="292" t="s">
        <v>445</v>
      </c>
      <c r="D529" s="288" t="s">
        <v>444</v>
      </c>
      <c r="E529" s="288" t="s">
        <v>443</v>
      </c>
      <c r="F529" s="288" t="s">
        <v>332</v>
      </c>
      <c r="G529" s="288"/>
      <c r="I529" s="288"/>
      <c r="J529" s="288"/>
      <c r="K529" s="288"/>
    </row>
    <row r="530" spans="1:11">
      <c r="A530" s="287"/>
      <c r="B530" s="288" t="s">
        <v>2949</v>
      </c>
      <c r="C530" s="292" t="s">
        <v>4796</v>
      </c>
      <c r="D530" s="288" t="s">
        <v>4797</v>
      </c>
      <c r="E530" s="288" t="s">
        <v>4798</v>
      </c>
      <c r="F530" s="288" t="s">
        <v>2143</v>
      </c>
      <c r="G530" s="288"/>
      <c r="I530" s="288"/>
      <c r="J530" s="288"/>
      <c r="K530" s="288"/>
    </row>
    <row r="531" spans="1:11">
      <c r="A531" s="287"/>
      <c r="B531" s="288" t="s">
        <v>2950</v>
      </c>
      <c r="C531" s="292" t="s">
        <v>4261</v>
      </c>
      <c r="D531" s="288" t="s">
        <v>2129</v>
      </c>
      <c r="E531" s="293">
        <v>1.6</v>
      </c>
      <c r="F531" s="293" t="s">
        <v>349</v>
      </c>
      <c r="G531" s="288"/>
      <c r="I531" s="288"/>
      <c r="J531" s="288"/>
      <c r="K531" s="288"/>
    </row>
    <row r="532" spans="1:11">
      <c r="A532" s="287"/>
      <c r="B532" s="288" t="s">
        <v>2950</v>
      </c>
      <c r="C532" s="292" t="s">
        <v>4262</v>
      </c>
      <c r="D532" s="293">
        <v>9.6199999999999992</v>
      </c>
      <c r="E532" s="293">
        <v>1.71</v>
      </c>
      <c r="F532" s="293" t="s">
        <v>3647</v>
      </c>
      <c r="G532" s="288"/>
      <c r="I532" s="288"/>
      <c r="J532" s="288"/>
      <c r="K532" s="288"/>
    </row>
    <row r="533" spans="1:11">
      <c r="A533" s="287"/>
      <c r="B533" s="288" t="s">
        <v>2950</v>
      </c>
      <c r="C533" s="292" t="s">
        <v>4263</v>
      </c>
      <c r="D533" s="288" t="s">
        <v>2130</v>
      </c>
      <c r="E533" s="293">
        <v>1.85</v>
      </c>
      <c r="F533" s="293" t="s">
        <v>330</v>
      </c>
      <c r="G533" s="288"/>
      <c r="I533" s="288"/>
      <c r="J533" s="288"/>
      <c r="K533" s="288"/>
    </row>
    <row r="534" spans="1:11">
      <c r="A534" s="287"/>
      <c r="B534" s="288" t="s">
        <v>2950</v>
      </c>
      <c r="C534" s="292" t="s">
        <v>4264</v>
      </c>
      <c r="D534" s="293">
        <v>10.54</v>
      </c>
      <c r="E534" s="293">
        <v>1.63</v>
      </c>
      <c r="F534" s="293" t="s">
        <v>2437</v>
      </c>
      <c r="G534" s="288"/>
      <c r="I534" s="288"/>
      <c r="J534" s="288"/>
      <c r="K534" s="288"/>
    </row>
    <row r="535" spans="1:11">
      <c r="A535" s="287"/>
      <c r="B535" s="288" t="s">
        <v>2950</v>
      </c>
      <c r="C535" s="292" t="s">
        <v>4265</v>
      </c>
      <c r="D535" s="288" t="s">
        <v>2131</v>
      </c>
      <c r="E535" s="293">
        <v>1.7</v>
      </c>
      <c r="F535" s="293" t="s">
        <v>332</v>
      </c>
      <c r="G535" s="288"/>
      <c r="I535" s="288"/>
      <c r="J535" s="288"/>
      <c r="K535" s="288"/>
    </row>
    <row r="536" spans="1:11">
      <c r="A536" s="287"/>
      <c r="B536" s="288" t="s">
        <v>2950</v>
      </c>
      <c r="C536" s="292" t="s">
        <v>4266</v>
      </c>
      <c r="D536" s="293">
        <v>11.45</v>
      </c>
      <c r="E536" s="293">
        <v>1.9</v>
      </c>
      <c r="F536" s="288" t="s">
        <v>344</v>
      </c>
      <c r="G536" s="288"/>
      <c r="I536" s="288"/>
      <c r="J536" s="288"/>
      <c r="K536" s="288"/>
    </row>
    <row r="537" spans="1:11">
      <c r="A537" s="287"/>
      <c r="B537" s="288" t="s">
        <v>2950</v>
      </c>
      <c r="C537" s="292" t="s">
        <v>4267</v>
      </c>
      <c r="D537" s="288" t="s">
        <v>2132</v>
      </c>
      <c r="E537" s="293">
        <v>1.85</v>
      </c>
      <c r="F537" s="293" t="s">
        <v>330</v>
      </c>
      <c r="G537" s="288"/>
      <c r="I537" s="288"/>
      <c r="J537" s="288"/>
      <c r="K537" s="288"/>
    </row>
    <row r="538" spans="1:11">
      <c r="A538" s="287"/>
      <c r="B538" s="288" t="s">
        <v>2950</v>
      </c>
      <c r="C538" s="292" t="s">
        <v>4268</v>
      </c>
      <c r="D538" s="288" t="s">
        <v>2133</v>
      </c>
      <c r="E538" s="293">
        <v>2.0499999999999998</v>
      </c>
      <c r="F538" s="293" t="s">
        <v>2435</v>
      </c>
      <c r="G538" s="288"/>
      <c r="I538" s="288"/>
      <c r="J538" s="288"/>
      <c r="K538" s="288"/>
    </row>
    <row r="539" spans="1:11">
      <c r="A539" s="287"/>
      <c r="B539" s="288" t="s">
        <v>2950</v>
      </c>
      <c r="C539" s="292" t="s">
        <v>4269</v>
      </c>
      <c r="D539" s="288" t="s">
        <v>2134</v>
      </c>
      <c r="E539" s="293">
        <v>2</v>
      </c>
      <c r="F539" s="288" t="s">
        <v>332</v>
      </c>
      <c r="G539" s="288"/>
      <c r="I539" s="288"/>
      <c r="J539" s="288"/>
      <c r="K539" s="288"/>
    </row>
    <row r="540" spans="1:11">
      <c r="A540" s="287"/>
      <c r="B540" s="288" t="s">
        <v>2950</v>
      </c>
      <c r="C540" s="292" t="s">
        <v>4270</v>
      </c>
      <c r="D540" s="293">
        <v>14.67</v>
      </c>
      <c r="E540" s="293">
        <v>1.88</v>
      </c>
      <c r="F540" s="293" t="s">
        <v>2406</v>
      </c>
      <c r="G540" s="288"/>
      <c r="I540" s="293"/>
      <c r="J540" s="293"/>
      <c r="K540" s="293"/>
    </row>
    <row r="541" spans="1:11">
      <c r="A541" s="287"/>
      <c r="B541" s="288" t="s">
        <v>2950</v>
      </c>
      <c r="C541" s="292" t="s">
        <v>4271</v>
      </c>
      <c r="D541" s="293">
        <v>14.99</v>
      </c>
      <c r="E541" s="293">
        <v>2.35</v>
      </c>
      <c r="F541" s="288" t="s">
        <v>2427</v>
      </c>
      <c r="G541" s="288"/>
      <c r="I541" s="293"/>
      <c r="J541" s="293"/>
      <c r="K541" s="293"/>
    </row>
    <row r="542" spans="1:11">
      <c r="A542" s="287"/>
      <c r="B542" s="288" t="s">
        <v>2950</v>
      </c>
      <c r="C542" s="292" t="s">
        <v>4272</v>
      </c>
      <c r="D542" s="293">
        <v>14.96</v>
      </c>
      <c r="E542" s="293">
        <v>2.2000000000000002</v>
      </c>
      <c r="F542" s="293" t="s">
        <v>3616</v>
      </c>
      <c r="G542" s="288"/>
      <c r="I542" s="293"/>
      <c r="J542" s="293"/>
      <c r="K542" s="293"/>
    </row>
    <row r="543" spans="1:11">
      <c r="A543" s="287"/>
      <c r="B543" s="288" t="s">
        <v>2950</v>
      </c>
      <c r="C543" s="292" t="s">
        <v>4273</v>
      </c>
      <c r="D543" s="293">
        <v>16.440000000000001</v>
      </c>
      <c r="E543" s="293">
        <v>2.29</v>
      </c>
      <c r="F543" s="288" t="s">
        <v>342</v>
      </c>
      <c r="G543" s="288"/>
      <c r="I543" s="288"/>
      <c r="J543" s="288"/>
      <c r="K543" s="288"/>
    </row>
    <row r="544" spans="1:11">
      <c r="A544" s="287"/>
      <c r="B544" s="288" t="s">
        <v>2950</v>
      </c>
      <c r="C544" s="292" t="s">
        <v>4274</v>
      </c>
      <c r="D544" s="293">
        <v>10.18</v>
      </c>
      <c r="E544" s="293">
        <v>1.47</v>
      </c>
      <c r="F544" s="293" t="s">
        <v>336</v>
      </c>
      <c r="G544" s="288"/>
      <c r="H544" s="296"/>
      <c r="I544" s="293"/>
      <c r="J544" s="293"/>
      <c r="K544" s="293"/>
    </row>
    <row r="545" spans="1:140">
      <c r="A545" s="287"/>
      <c r="B545" s="288" t="s">
        <v>2951</v>
      </c>
      <c r="C545" s="292" t="s">
        <v>4275</v>
      </c>
      <c r="D545" s="293">
        <v>8.9</v>
      </c>
      <c r="E545" s="293">
        <v>1.55</v>
      </c>
      <c r="F545" s="293" t="s">
        <v>328</v>
      </c>
      <c r="G545" s="288"/>
      <c r="H545" s="296"/>
      <c r="I545" s="288"/>
      <c r="J545" s="288"/>
      <c r="K545" s="288"/>
    </row>
    <row r="546" spans="1:140">
      <c r="A546" s="287"/>
      <c r="B546" s="288" t="s">
        <v>2951</v>
      </c>
      <c r="C546" s="292" t="s">
        <v>4276</v>
      </c>
      <c r="D546" s="293">
        <v>8.99</v>
      </c>
      <c r="E546" s="293">
        <v>1.68</v>
      </c>
      <c r="F546" s="293" t="s">
        <v>328</v>
      </c>
      <c r="G546" s="288"/>
      <c r="H546" s="296"/>
      <c r="I546" s="288"/>
      <c r="J546" s="288"/>
      <c r="K546" s="288"/>
    </row>
    <row r="547" spans="1:140">
      <c r="A547" s="287"/>
      <c r="B547" s="288" t="s">
        <v>2951</v>
      </c>
      <c r="C547" s="292" t="s">
        <v>2986</v>
      </c>
      <c r="D547" s="293">
        <v>9.4499999999999993</v>
      </c>
      <c r="E547" s="293">
        <v>1.4</v>
      </c>
      <c r="F547" s="293" t="s">
        <v>366</v>
      </c>
      <c r="G547" s="288"/>
      <c r="I547" s="288"/>
      <c r="J547" s="288"/>
      <c r="K547" s="288"/>
    </row>
    <row r="548" spans="1:140">
      <c r="A548" s="287"/>
      <c r="B548" s="288" t="s">
        <v>2951</v>
      </c>
      <c r="C548" s="292" t="s">
        <v>2985</v>
      </c>
      <c r="D548" s="293">
        <v>9.4499999999999993</v>
      </c>
      <c r="E548" s="293">
        <v>1.75</v>
      </c>
      <c r="F548" s="288" t="s">
        <v>366</v>
      </c>
      <c r="G548" s="293"/>
      <c r="H548" s="296"/>
      <c r="I548" s="288"/>
      <c r="J548" s="288"/>
      <c r="K548" s="288"/>
    </row>
    <row r="549" spans="1:140">
      <c r="A549" s="287"/>
      <c r="B549" s="288" t="s">
        <v>2951</v>
      </c>
      <c r="C549" s="292" t="s">
        <v>446</v>
      </c>
      <c r="D549" s="288" t="s">
        <v>2088</v>
      </c>
      <c r="E549" s="288" t="s">
        <v>447</v>
      </c>
      <c r="F549" s="288" t="s">
        <v>2427</v>
      </c>
      <c r="G549" s="293"/>
      <c r="I549" s="288"/>
      <c r="J549" s="288"/>
      <c r="K549" s="288"/>
    </row>
    <row r="550" spans="1:140">
      <c r="A550" s="287"/>
      <c r="B550" s="288" t="s">
        <v>2951</v>
      </c>
      <c r="C550" s="292" t="s">
        <v>4277</v>
      </c>
      <c r="D550" s="293">
        <v>9.5500000000000007</v>
      </c>
      <c r="E550" s="293">
        <v>1.84</v>
      </c>
      <c r="F550" s="288" t="s">
        <v>334</v>
      </c>
      <c r="G550" s="293"/>
      <c r="I550" s="288"/>
      <c r="J550" s="288"/>
      <c r="K550" s="288"/>
    </row>
    <row r="551" spans="1:140">
      <c r="A551" s="287"/>
      <c r="B551" s="288" t="s">
        <v>2951</v>
      </c>
      <c r="C551" s="292" t="s">
        <v>4278</v>
      </c>
      <c r="D551" s="293">
        <v>10.08</v>
      </c>
      <c r="E551" s="293">
        <v>1.75</v>
      </c>
      <c r="F551" s="293" t="s">
        <v>3647</v>
      </c>
      <c r="G551" s="288"/>
      <c r="I551" s="288"/>
      <c r="J551" s="288"/>
      <c r="K551" s="288"/>
    </row>
    <row r="552" spans="1:140">
      <c r="A552" s="287"/>
      <c r="B552" s="288" t="s">
        <v>2951</v>
      </c>
      <c r="C552" s="292" t="s">
        <v>4279</v>
      </c>
      <c r="D552" s="293">
        <v>10.35</v>
      </c>
      <c r="E552" s="293">
        <v>1.75</v>
      </c>
      <c r="F552" s="293" t="s">
        <v>344</v>
      </c>
      <c r="G552" s="293"/>
      <c r="I552" s="293"/>
      <c r="J552" s="293"/>
      <c r="K552" s="293"/>
    </row>
    <row r="553" spans="1:140">
      <c r="A553" s="287"/>
      <c r="B553" s="288" t="s">
        <v>2951</v>
      </c>
      <c r="C553" s="292" t="s">
        <v>4280</v>
      </c>
      <c r="D553" s="293">
        <v>10.35</v>
      </c>
      <c r="E553" s="293">
        <v>1.85</v>
      </c>
      <c r="F553" s="288" t="s">
        <v>344</v>
      </c>
      <c r="G553" s="288"/>
      <c r="I553" s="293"/>
      <c r="J553" s="293"/>
      <c r="K553" s="293"/>
    </row>
    <row r="554" spans="1:140">
      <c r="A554" s="287"/>
      <c r="B554" s="288" t="s">
        <v>2951</v>
      </c>
      <c r="C554" s="292" t="s">
        <v>4281</v>
      </c>
      <c r="D554" s="293">
        <v>10.5</v>
      </c>
      <c r="E554" s="293">
        <v>1.92</v>
      </c>
      <c r="F554" s="288" t="s">
        <v>2413</v>
      </c>
      <c r="G554" s="288"/>
      <c r="I554" s="288"/>
      <c r="J554" s="288"/>
      <c r="K554" s="288"/>
    </row>
    <row r="555" spans="1:140">
      <c r="A555" s="287"/>
      <c r="B555" s="288" t="s">
        <v>2951</v>
      </c>
      <c r="C555" s="292" t="s">
        <v>4282</v>
      </c>
      <c r="D555" s="293">
        <v>11.25</v>
      </c>
      <c r="E555" s="293">
        <v>1.95</v>
      </c>
      <c r="F555" s="288" t="s">
        <v>2412</v>
      </c>
      <c r="G555" s="288"/>
      <c r="I555" s="288"/>
      <c r="J555" s="288"/>
      <c r="K555" s="288"/>
      <c r="CW555" s="297"/>
    </row>
    <row r="556" spans="1:140">
      <c r="A556" s="287"/>
      <c r="B556" s="288" t="s">
        <v>2951</v>
      </c>
      <c r="C556" s="292" t="s">
        <v>4283</v>
      </c>
      <c r="D556" s="293">
        <v>11.25</v>
      </c>
      <c r="E556" s="293">
        <v>1.95</v>
      </c>
      <c r="F556" s="288" t="s">
        <v>2412</v>
      </c>
      <c r="G556" s="288"/>
      <c r="H556" s="296"/>
      <c r="I556" s="293"/>
      <c r="J556" s="293"/>
      <c r="K556" s="293"/>
      <c r="M556" s="297"/>
      <c r="P556" s="297"/>
      <c r="AE556" s="297"/>
      <c r="BY556" s="297"/>
    </row>
    <row r="557" spans="1:140" s="297" customFormat="1">
      <c r="A557" s="287"/>
      <c r="B557" s="288" t="s">
        <v>2951</v>
      </c>
      <c r="C557" s="292" t="s">
        <v>1625</v>
      </c>
      <c r="D557" s="293">
        <v>11.25</v>
      </c>
      <c r="E557" s="293">
        <v>1.69</v>
      </c>
      <c r="F557" s="293" t="s">
        <v>364</v>
      </c>
      <c r="G557" s="288"/>
      <c r="H557" s="296"/>
      <c r="I557" s="299"/>
      <c r="J557" s="299"/>
      <c r="K557" s="299"/>
      <c r="M557" s="292"/>
      <c r="N557" s="292"/>
      <c r="P557" s="292"/>
      <c r="Q557" s="292"/>
      <c r="R557" s="292"/>
      <c r="U557" s="292"/>
      <c r="W557" s="292"/>
      <c r="AE557" s="292"/>
      <c r="AM557" s="292"/>
      <c r="AN557" s="292"/>
      <c r="AO557" s="292"/>
      <c r="AT557" s="292"/>
      <c r="AZ557" s="292"/>
      <c r="BB557" s="292"/>
      <c r="BF557" s="292"/>
      <c r="BH557" s="292"/>
      <c r="BI557" s="292"/>
      <c r="BY557" s="292"/>
      <c r="CL557" s="292"/>
      <c r="CW557" s="292"/>
      <c r="DN557" s="292"/>
      <c r="DT557" s="292"/>
      <c r="EG557" s="292"/>
      <c r="EJ557" s="292"/>
    </row>
    <row r="558" spans="1:140">
      <c r="A558" s="287"/>
      <c r="B558" s="288" t="s">
        <v>2951</v>
      </c>
      <c r="C558" s="292" t="s">
        <v>2987</v>
      </c>
      <c r="D558" s="293">
        <v>11.25</v>
      </c>
      <c r="E558" s="293">
        <v>1.98</v>
      </c>
      <c r="F558" s="293" t="s">
        <v>364</v>
      </c>
      <c r="G558" s="288"/>
      <c r="I558" s="288"/>
      <c r="J558" s="288"/>
      <c r="K558" s="288"/>
      <c r="W558" s="297"/>
      <c r="AM558" s="297"/>
      <c r="AT558" s="297"/>
      <c r="BI558" s="297"/>
      <c r="CL558" s="297"/>
      <c r="DN558" s="297"/>
    </row>
    <row r="559" spans="1:140">
      <c r="A559" s="287"/>
      <c r="B559" s="288" t="s">
        <v>2951</v>
      </c>
      <c r="C559" s="292" t="s">
        <v>4284</v>
      </c>
      <c r="D559" s="293">
        <v>11.25</v>
      </c>
      <c r="E559" s="288" t="s">
        <v>327</v>
      </c>
      <c r="F559" s="293" t="s">
        <v>364</v>
      </c>
      <c r="G559" s="288"/>
      <c r="I559" s="288"/>
      <c r="J559" s="288"/>
      <c r="K559" s="288"/>
      <c r="N559" s="297"/>
      <c r="Q559" s="297"/>
      <c r="U559" s="297"/>
      <c r="AO559" s="297"/>
      <c r="BB559" s="297"/>
      <c r="DT559" s="297"/>
      <c r="EG559" s="297"/>
    </row>
    <row r="560" spans="1:140">
      <c r="A560" s="287"/>
      <c r="B560" s="288" t="s">
        <v>2951</v>
      </c>
      <c r="C560" s="292" t="s">
        <v>4285</v>
      </c>
      <c r="D560" s="293">
        <v>11.35</v>
      </c>
      <c r="E560" s="293">
        <v>1.75</v>
      </c>
      <c r="F560" s="288" t="s">
        <v>339</v>
      </c>
      <c r="G560" s="293"/>
      <c r="H560" s="296"/>
      <c r="I560" s="288"/>
      <c r="J560" s="288"/>
      <c r="K560" s="288"/>
      <c r="AN560" s="297"/>
      <c r="BF560" s="297"/>
    </row>
    <row r="561" spans="1:140">
      <c r="A561" s="287"/>
      <c r="B561" s="288" t="s">
        <v>2951</v>
      </c>
      <c r="C561" s="292" t="s">
        <v>1626</v>
      </c>
      <c r="D561" s="293">
        <v>11.99</v>
      </c>
      <c r="E561" s="293">
        <v>1.96</v>
      </c>
      <c r="F561" s="288" t="s">
        <v>2412</v>
      </c>
      <c r="G561" s="293"/>
      <c r="H561" s="301"/>
      <c r="I561" s="288"/>
      <c r="J561" s="288"/>
      <c r="K561" s="288"/>
      <c r="R561" s="297"/>
    </row>
    <row r="562" spans="1:140">
      <c r="A562" s="287"/>
      <c r="B562" s="288" t="s">
        <v>2951</v>
      </c>
      <c r="C562" s="292" t="s">
        <v>1627</v>
      </c>
      <c r="D562" s="293">
        <v>11.99</v>
      </c>
      <c r="E562" s="293">
        <v>2.0499999999999998</v>
      </c>
      <c r="F562" s="288" t="s">
        <v>2412</v>
      </c>
      <c r="G562" s="288"/>
      <c r="I562" s="293"/>
      <c r="J562" s="293"/>
      <c r="K562" s="293"/>
    </row>
    <row r="563" spans="1:140">
      <c r="A563" s="287"/>
      <c r="B563" s="288" t="s">
        <v>2951</v>
      </c>
      <c r="C563" s="292" t="s">
        <v>4286</v>
      </c>
      <c r="D563" s="293">
        <v>11.98</v>
      </c>
      <c r="E563" s="293">
        <v>1.98</v>
      </c>
      <c r="F563" s="293" t="s">
        <v>2409</v>
      </c>
      <c r="G563" s="288"/>
      <c r="I563" s="293"/>
      <c r="J563" s="293"/>
      <c r="K563" s="293"/>
      <c r="BH563" s="297"/>
    </row>
    <row r="564" spans="1:140">
      <c r="A564" s="287"/>
      <c r="B564" s="288" t="s">
        <v>2951</v>
      </c>
      <c r="C564" s="292" t="s">
        <v>1629</v>
      </c>
      <c r="D564" s="293">
        <v>12.35</v>
      </c>
      <c r="E564" s="293">
        <v>1.69</v>
      </c>
      <c r="F564" s="293" t="s">
        <v>2424</v>
      </c>
      <c r="G564" s="293"/>
      <c r="I564" s="293"/>
      <c r="J564" s="293"/>
      <c r="K564" s="293"/>
    </row>
    <row r="565" spans="1:140">
      <c r="A565" s="287"/>
      <c r="B565" s="288" t="s">
        <v>2951</v>
      </c>
      <c r="C565" s="292" t="s">
        <v>1628</v>
      </c>
      <c r="D565" s="288" t="s">
        <v>2049</v>
      </c>
      <c r="E565" s="293">
        <v>1.98</v>
      </c>
      <c r="F565" s="293" t="s">
        <v>2424</v>
      </c>
      <c r="G565" s="299"/>
      <c r="I565" s="288"/>
      <c r="J565" s="288"/>
      <c r="K565" s="288"/>
    </row>
    <row r="566" spans="1:140">
      <c r="A566" s="287"/>
      <c r="B566" s="288" t="s">
        <v>2951</v>
      </c>
      <c r="C566" s="292" t="s">
        <v>4287</v>
      </c>
      <c r="D566" s="293">
        <v>13.15</v>
      </c>
      <c r="E566" s="293">
        <v>2.2000000000000002</v>
      </c>
      <c r="F566" s="288" t="s">
        <v>2413</v>
      </c>
      <c r="G566" s="288"/>
      <c r="H566" s="296"/>
      <c r="I566" s="288"/>
      <c r="J566" s="288"/>
      <c r="K566" s="288"/>
    </row>
    <row r="567" spans="1:140">
      <c r="A567" s="287"/>
      <c r="B567" s="288" t="s">
        <v>2951</v>
      </c>
      <c r="C567" s="292" t="s">
        <v>4799</v>
      </c>
      <c r="D567" s="288" t="s">
        <v>4800</v>
      </c>
      <c r="E567" s="288" t="s">
        <v>1703</v>
      </c>
      <c r="F567" s="288" t="s">
        <v>2143</v>
      </c>
      <c r="G567" s="288"/>
      <c r="H567" s="296"/>
      <c r="I567" s="288"/>
      <c r="J567" s="288"/>
      <c r="K567" s="288"/>
    </row>
    <row r="568" spans="1:140">
      <c r="A568" s="287"/>
      <c r="B568" s="288" t="s">
        <v>2951</v>
      </c>
      <c r="C568" s="292" t="s">
        <v>1630</v>
      </c>
      <c r="D568" s="293">
        <v>14.2</v>
      </c>
      <c r="E568" s="293">
        <v>2.2999999999999998</v>
      </c>
      <c r="F568" s="293" t="s">
        <v>2412</v>
      </c>
      <c r="G568" s="288"/>
      <c r="H568" s="296"/>
      <c r="I568" s="288"/>
      <c r="J568" s="288"/>
      <c r="K568" s="288"/>
    </row>
    <row r="569" spans="1:140">
      <c r="A569" s="287"/>
      <c r="B569" s="288" t="s">
        <v>2951</v>
      </c>
      <c r="C569" s="292" t="s">
        <v>1632</v>
      </c>
      <c r="D569" s="293">
        <v>14.19</v>
      </c>
      <c r="E569" s="293">
        <v>2.2999999999999998</v>
      </c>
      <c r="F569" s="288" t="s">
        <v>2427</v>
      </c>
      <c r="G569" s="288"/>
      <c r="I569" s="293"/>
      <c r="J569" s="293"/>
      <c r="K569" s="293"/>
      <c r="AZ569" s="297"/>
    </row>
    <row r="570" spans="1:140">
      <c r="A570" s="287"/>
      <c r="B570" s="288" t="s">
        <v>2951</v>
      </c>
      <c r="C570" s="292" t="s">
        <v>1631</v>
      </c>
      <c r="D570" s="293">
        <v>14.19</v>
      </c>
      <c r="E570" s="293">
        <v>2.6</v>
      </c>
      <c r="F570" s="288" t="s">
        <v>2427</v>
      </c>
      <c r="G570" s="293"/>
      <c r="I570" s="288"/>
      <c r="J570" s="288"/>
      <c r="K570" s="288"/>
    </row>
    <row r="571" spans="1:140">
      <c r="A571" s="287"/>
      <c r="B571" s="288" t="s">
        <v>2951</v>
      </c>
      <c r="C571" s="292" t="s">
        <v>1633</v>
      </c>
      <c r="D571" s="293">
        <v>16.149999999999999</v>
      </c>
      <c r="E571" s="293">
        <v>2.4300000000000002</v>
      </c>
      <c r="F571" s="288" t="s">
        <v>2410</v>
      </c>
      <c r="G571" s="293"/>
      <c r="I571" s="288"/>
      <c r="J571" s="288"/>
      <c r="K571" s="288"/>
    </row>
    <row r="572" spans="1:140">
      <c r="A572" s="287"/>
      <c r="B572" s="288" t="s">
        <v>2951</v>
      </c>
      <c r="C572" s="292" t="s">
        <v>1634</v>
      </c>
      <c r="D572" s="293">
        <v>16.149999999999999</v>
      </c>
      <c r="E572" s="293">
        <v>2.8</v>
      </c>
      <c r="F572" s="288" t="s">
        <v>2410</v>
      </c>
      <c r="G572" s="293"/>
      <c r="I572" s="288"/>
      <c r="J572" s="288"/>
      <c r="K572" s="288"/>
    </row>
    <row r="573" spans="1:140">
      <c r="A573" s="287"/>
      <c r="B573" s="288" t="s">
        <v>2951</v>
      </c>
      <c r="C573" s="292" t="s">
        <v>1635</v>
      </c>
      <c r="D573" s="293">
        <v>16.079999999999998</v>
      </c>
      <c r="E573" s="293">
        <v>2.4300000000000002</v>
      </c>
      <c r="F573" s="288" t="s">
        <v>2427</v>
      </c>
      <c r="G573" s="288"/>
      <c r="H573" s="296"/>
      <c r="I573" s="293"/>
      <c r="J573" s="293"/>
      <c r="K573" s="288"/>
    </row>
    <row r="574" spans="1:140">
      <c r="A574" s="287"/>
      <c r="B574" s="288" t="s">
        <v>2951</v>
      </c>
      <c r="C574" s="292" t="s">
        <v>1636</v>
      </c>
      <c r="D574" s="293">
        <v>16.079999999999998</v>
      </c>
      <c r="E574" s="293">
        <v>2.8</v>
      </c>
      <c r="F574" s="288" t="s">
        <v>2427</v>
      </c>
      <c r="G574" s="288"/>
      <c r="I574" s="288"/>
      <c r="J574" s="288"/>
      <c r="K574" s="288"/>
    </row>
    <row r="575" spans="1:140">
      <c r="A575" s="287" t="s">
        <v>2407</v>
      </c>
      <c r="B575" s="288" t="s">
        <v>2951</v>
      </c>
      <c r="C575" s="292" t="s">
        <v>4288</v>
      </c>
      <c r="D575" s="293">
        <v>16.079999999999998</v>
      </c>
      <c r="E575" s="293">
        <v>2.8</v>
      </c>
      <c r="F575" s="288" t="s">
        <v>337</v>
      </c>
      <c r="G575" s="288"/>
      <c r="I575" s="288"/>
      <c r="J575" s="288"/>
      <c r="K575" s="288"/>
    </row>
    <row r="576" spans="1:140">
      <c r="A576" s="287"/>
      <c r="B576" s="288" t="s">
        <v>2951</v>
      </c>
      <c r="C576" s="292" t="s">
        <v>4289</v>
      </c>
      <c r="D576" s="293">
        <v>19</v>
      </c>
      <c r="E576" s="293">
        <v>2.95</v>
      </c>
      <c r="F576" s="288" t="s">
        <v>2413</v>
      </c>
      <c r="G576" s="288"/>
      <c r="I576" s="293"/>
      <c r="J576" s="293"/>
      <c r="K576" s="293"/>
      <c r="EJ576" s="297"/>
    </row>
    <row r="577" spans="1:11">
      <c r="A577" s="287"/>
      <c r="B577" s="288" t="s">
        <v>2952</v>
      </c>
      <c r="C577" s="292" t="s">
        <v>1637</v>
      </c>
      <c r="D577" s="293">
        <v>11.67</v>
      </c>
      <c r="E577" s="293">
        <v>1.5</v>
      </c>
      <c r="F577" s="288" t="s">
        <v>2427</v>
      </c>
      <c r="G577" s="293"/>
      <c r="H577" s="296"/>
      <c r="I577" s="288"/>
      <c r="J577" s="288"/>
      <c r="K577" s="288"/>
    </row>
    <row r="578" spans="1:11">
      <c r="A578" s="287"/>
      <c r="B578" s="288" t="s">
        <v>2952</v>
      </c>
      <c r="C578" s="292" t="s">
        <v>1638</v>
      </c>
      <c r="D578" s="293">
        <v>11.67</v>
      </c>
      <c r="E578" s="293">
        <v>1.8</v>
      </c>
      <c r="F578" s="288" t="s">
        <v>2427</v>
      </c>
      <c r="G578" s="288"/>
      <c r="I578" s="293"/>
      <c r="J578" s="293"/>
      <c r="K578" s="293"/>
    </row>
    <row r="579" spans="1:11">
      <c r="A579" s="287"/>
      <c r="B579" s="288" t="s">
        <v>2952</v>
      </c>
      <c r="C579" s="292" t="s">
        <v>4290</v>
      </c>
      <c r="D579" s="293">
        <v>12.42</v>
      </c>
      <c r="E579" s="293">
        <v>1.55</v>
      </c>
      <c r="F579" s="288" t="s">
        <v>2427</v>
      </c>
      <c r="G579" s="288"/>
      <c r="I579" s="288"/>
      <c r="J579" s="288"/>
      <c r="K579" s="288"/>
    </row>
    <row r="580" spans="1:11">
      <c r="A580" s="287"/>
      <c r="B580" s="288" t="s">
        <v>2952</v>
      </c>
      <c r="C580" s="292" t="s">
        <v>4291</v>
      </c>
      <c r="D580" s="293">
        <v>15.65</v>
      </c>
      <c r="E580" s="293">
        <v>1.85</v>
      </c>
      <c r="F580" s="288" t="s">
        <v>2427</v>
      </c>
      <c r="G580" s="288"/>
      <c r="H580" s="296"/>
      <c r="I580" s="293"/>
      <c r="J580" s="293"/>
      <c r="K580" s="293"/>
    </row>
    <row r="581" spans="1:11">
      <c r="A581" s="287"/>
      <c r="B581" s="288" t="s">
        <v>2952</v>
      </c>
      <c r="C581" s="292" t="s">
        <v>4142</v>
      </c>
      <c r="D581" s="293">
        <v>15.65</v>
      </c>
      <c r="E581" s="293">
        <v>1.75</v>
      </c>
      <c r="F581" s="288" t="s">
        <v>2427</v>
      </c>
      <c r="G581" s="293"/>
      <c r="I581" s="288"/>
      <c r="J581" s="288"/>
      <c r="K581" s="288"/>
    </row>
    <row r="582" spans="1:11">
      <c r="A582" s="287"/>
      <c r="B582" s="288" t="s">
        <v>2953</v>
      </c>
      <c r="C582" s="292" t="s">
        <v>4150</v>
      </c>
      <c r="D582" s="293">
        <v>7.42</v>
      </c>
      <c r="E582" s="293">
        <v>1.58</v>
      </c>
      <c r="F582" s="293" t="s">
        <v>328</v>
      </c>
      <c r="G582" s="288"/>
      <c r="H582" s="296"/>
      <c r="I582" s="288"/>
      <c r="J582" s="288"/>
      <c r="K582" s="288"/>
    </row>
    <row r="583" spans="1:11">
      <c r="A583" s="287"/>
      <c r="B583" s="288" t="s">
        <v>2953</v>
      </c>
      <c r="C583" s="292" t="s">
        <v>4151</v>
      </c>
      <c r="D583" s="293">
        <v>7.6</v>
      </c>
      <c r="E583" s="293">
        <v>1</v>
      </c>
      <c r="F583" s="293" t="s">
        <v>328</v>
      </c>
      <c r="G583" s="288"/>
      <c r="I583" s="288"/>
      <c r="J583" s="288"/>
      <c r="K583" s="288"/>
    </row>
    <row r="584" spans="1:11">
      <c r="A584" s="287"/>
      <c r="B584" s="288" t="s">
        <v>2953</v>
      </c>
      <c r="C584" s="292" t="s">
        <v>4152</v>
      </c>
      <c r="D584" s="293">
        <v>5.79</v>
      </c>
      <c r="E584" s="293">
        <v>0.96</v>
      </c>
      <c r="F584" s="293" t="s">
        <v>2431</v>
      </c>
      <c r="G584" s="293"/>
      <c r="H584" s="296"/>
      <c r="I584" s="288"/>
      <c r="J584" s="288"/>
      <c r="K584" s="288"/>
    </row>
    <row r="585" spans="1:11">
      <c r="A585" s="287"/>
      <c r="B585" s="288" t="s">
        <v>2953</v>
      </c>
      <c r="C585" s="292" t="s">
        <v>799</v>
      </c>
      <c r="D585" s="293">
        <v>8</v>
      </c>
      <c r="E585" s="293">
        <v>1.54</v>
      </c>
      <c r="F585" s="293" t="s">
        <v>352</v>
      </c>
      <c r="G585" s="288"/>
      <c r="I585" s="288"/>
      <c r="J585" s="288"/>
      <c r="K585" s="288"/>
    </row>
    <row r="586" spans="1:11">
      <c r="A586" s="287"/>
      <c r="B586" s="288" t="s">
        <v>2953</v>
      </c>
      <c r="C586" s="292" t="s">
        <v>4153</v>
      </c>
      <c r="D586" s="293">
        <v>8.4600000000000009</v>
      </c>
      <c r="E586" s="293">
        <v>1.52</v>
      </c>
      <c r="F586" s="293" t="s">
        <v>2404</v>
      </c>
      <c r="G586" s="293"/>
      <c r="I586" s="288"/>
      <c r="J586" s="288"/>
      <c r="K586" s="288"/>
    </row>
    <row r="587" spans="1:11">
      <c r="A587" s="287" t="s">
        <v>2407</v>
      </c>
      <c r="B587" s="288" t="s">
        <v>2953</v>
      </c>
      <c r="C587" s="292" t="s">
        <v>4154</v>
      </c>
      <c r="D587" s="288" t="s">
        <v>2053</v>
      </c>
      <c r="E587" s="293">
        <v>1.58</v>
      </c>
      <c r="F587" s="293" t="s">
        <v>347</v>
      </c>
      <c r="G587" s="288"/>
      <c r="I587" s="293"/>
      <c r="J587" s="293"/>
      <c r="K587" s="293"/>
    </row>
    <row r="588" spans="1:11">
      <c r="A588" s="287" t="s">
        <v>2407</v>
      </c>
      <c r="B588" s="288" t="s">
        <v>2953</v>
      </c>
      <c r="C588" s="292" t="s">
        <v>4155</v>
      </c>
      <c r="D588" s="293">
        <v>9</v>
      </c>
      <c r="E588" s="293">
        <v>1.2</v>
      </c>
      <c r="F588" s="293" t="s">
        <v>2404</v>
      </c>
      <c r="G588" s="293"/>
      <c r="I588" s="293"/>
      <c r="J588" s="293"/>
      <c r="K588" s="293"/>
    </row>
    <row r="589" spans="1:11">
      <c r="A589" s="287" t="s">
        <v>2407</v>
      </c>
      <c r="B589" s="288" t="s">
        <v>2953</v>
      </c>
      <c r="C589" s="292" t="s">
        <v>1639</v>
      </c>
      <c r="D589" s="293">
        <v>9.4</v>
      </c>
      <c r="E589" s="293">
        <v>1.68</v>
      </c>
      <c r="F589" s="293" t="s">
        <v>2408</v>
      </c>
      <c r="G589" s="288"/>
      <c r="I589" s="288"/>
      <c r="J589" s="288"/>
      <c r="K589" s="288"/>
    </row>
    <row r="590" spans="1:11">
      <c r="A590" s="287"/>
      <c r="B590" s="288" t="s">
        <v>2953</v>
      </c>
      <c r="C590" s="292" t="s">
        <v>4156</v>
      </c>
      <c r="D590" s="293">
        <v>9.41</v>
      </c>
      <c r="E590" s="293">
        <v>1.32</v>
      </c>
      <c r="F590" s="293" t="s">
        <v>366</v>
      </c>
      <c r="G590" s="288"/>
      <c r="I590" s="288"/>
      <c r="J590" s="288"/>
      <c r="K590" s="288"/>
    </row>
    <row r="591" spans="1:11">
      <c r="A591" s="298"/>
      <c r="B591" s="288" t="s">
        <v>2953</v>
      </c>
      <c r="C591" s="292" t="s">
        <v>4157</v>
      </c>
      <c r="D591" s="293">
        <v>10.199999999999999</v>
      </c>
      <c r="E591" s="293">
        <v>1.37</v>
      </c>
      <c r="F591" s="293" t="s">
        <v>2406</v>
      </c>
      <c r="G591" s="288"/>
      <c r="I591" s="288"/>
      <c r="J591" s="288"/>
      <c r="K591" s="288"/>
    </row>
    <row r="592" spans="1:11">
      <c r="A592" s="287"/>
      <c r="B592" s="288" t="s">
        <v>2953</v>
      </c>
      <c r="C592" s="292" t="s">
        <v>4158</v>
      </c>
      <c r="D592" s="293">
        <v>10.210000000000001</v>
      </c>
      <c r="E592" s="293">
        <v>1.82</v>
      </c>
      <c r="F592" s="293" t="s">
        <v>2408</v>
      </c>
      <c r="G592" s="288"/>
      <c r="H592" s="296"/>
      <c r="I592" s="288"/>
      <c r="J592" s="288"/>
      <c r="K592" s="288"/>
    </row>
    <row r="593" spans="1:11">
      <c r="A593" s="287"/>
      <c r="B593" s="288" t="s">
        <v>2953</v>
      </c>
      <c r="C593" s="292" t="s">
        <v>4159</v>
      </c>
      <c r="D593" s="293">
        <v>12.28</v>
      </c>
      <c r="E593" s="293">
        <v>1.54</v>
      </c>
      <c r="F593" s="293" t="s">
        <v>376</v>
      </c>
      <c r="G593" s="288"/>
      <c r="I593" s="288"/>
      <c r="J593" s="288"/>
      <c r="K593" s="288"/>
    </row>
    <row r="594" spans="1:11">
      <c r="A594" s="287"/>
      <c r="B594" s="288" t="s">
        <v>2953</v>
      </c>
      <c r="C594" s="292" t="s">
        <v>1641</v>
      </c>
      <c r="D594" s="288" t="s">
        <v>2139</v>
      </c>
      <c r="E594" s="293">
        <v>1.85</v>
      </c>
      <c r="F594" s="293" t="s">
        <v>2405</v>
      </c>
      <c r="G594" s="288"/>
      <c r="I594" s="293"/>
      <c r="J594" s="293"/>
      <c r="K594" s="293"/>
    </row>
    <row r="595" spans="1:11">
      <c r="A595" s="287"/>
      <c r="B595" s="288" t="s">
        <v>2953</v>
      </c>
      <c r="C595" s="292" t="s">
        <v>1640</v>
      </c>
      <c r="D595" s="293">
        <v>12.4</v>
      </c>
      <c r="E595" s="293">
        <v>1.93</v>
      </c>
      <c r="F595" s="293" t="s">
        <v>2405</v>
      </c>
      <c r="G595" s="293"/>
      <c r="I595" s="288"/>
      <c r="J595" s="288"/>
      <c r="K595" s="288"/>
    </row>
    <row r="596" spans="1:11">
      <c r="A596" s="287" t="s">
        <v>2407</v>
      </c>
      <c r="B596" s="288" t="s">
        <v>2953</v>
      </c>
      <c r="C596" s="292" t="s">
        <v>4160</v>
      </c>
      <c r="D596" s="293">
        <v>12.98</v>
      </c>
      <c r="E596" s="293">
        <v>1.25</v>
      </c>
      <c r="F596" s="293" t="s">
        <v>342</v>
      </c>
      <c r="G596" s="293"/>
      <c r="I596" s="288"/>
      <c r="J596" s="288"/>
      <c r="K596" s="288"/>
    </row>
    <row r="597" spans="1:11">
      <c r="A597" s="287"/>
      <c r="B597" s="288" t="s">
        <v>2953</v>
      </c>
      <c r="C597" s="292" t="s">
        <v>4161</v>
      </c>
      <c r="D597" s="293">
        <v>7.07</v>
      </c>
      <c r="E597" s="293">
        <v>1.48</v>
      </c>
      <c r="F597" s="293" t="s">
        <v>342</v>
      </c>
      <c r="G597" s="288"/>
      <c r="I597" s="288"/>
      <c r="J597" s="288"/>
      <c r="K597" s="288"/>
    </row>
    <row r="598" spans="1:11">
      <c r="A598" s="287"/>
      <c r="B598" s="288" t="s">
        <v>2953</v>
      </c>
      <c r="C598" s="292" t="s">
        <v>800</v>
      </c>
      <c r="D598" s="293">
        <v>8.56</v>
      </c>
      <c r="E598" s="293">
        <v>1.78</v>
      </c>
      <c r="F598" s="293" t="s">
        <v>2418</v>
      </c>
      <c r="G598" s="288"/>
      <c r="H598" s="296"/>
      <c r="I598" s="293"/>
      <c r="J598" s="293"/>
      <c r="K598" s="293"/>
    </row>
    <row r="599" spans="1:11">
      <c r="A599" s="287"/>
      <c r="B599" s="288" t="s">
        <v>2953</v>
      </c>
      <c r="C599" s="292" t="s">
        <v>801</v>
      </c>
      <c r="D599" s="293">
        <v>8.56</v>
      </c>
      <c r="E599" s="293">
        <v>1.78</v>
      </c>
      <c r="F599" s="293" t="s">
        <v>2418</v>
      </c>
      <c r="G599" s="288"/>
      <c r="I599" s="293"/>
      <c r="J599" s="293"/>
      <c r="K599" s="293"/>
    </row>
    <row r="600" spans="1:11">
      <c r="A600" s="287"/>
      <c r="B600" s="288" t="s">
        <v>2953</v>
      </c>
      <c r="C600" s="292" t="s">
        <v>3505</v>
      </c>
      <c r="D600" s="293">
        <v>6</v>
      </c>
      <c r="E600" s="293">
        <v>1.17</v>
      </c>
      <c r="F600" s="293" t="s">
        <v>2435</v>
      </c>
      <c r="G600" s="288"/>
      <c r="I600" s="288"/>
      <c r="J600" s="288"/>
      <c r="K600" s="288"/>
    </row>
    <row r="601" spans="1:11">
      <c r="A601" s="287"/>
      <c r="B601" s="299" t="s">
        <v>2954</v>
      </c>
      <c r="C601" s="292" t="s">
        <v>4162</v>
      </c>
      <c r="D601" s="300">
        <v>7.77</v>
      </c>
      <c r="E601" s="300">
        <v>1.52</v>
      </c>
      <c r="F601" s="300" t="s">
        <v>3635</v>
      </c>
      <c r="G601" s="288"/>
      <c r="H601" s="296"/>
      <c r="I601" s="288"/>
      <c r="J601" s="288"/>
      <c r="K601" s="288"/>
    </row>
    <row r="602" spans="1:11">
      <c r="A602" s="287"/>
      <c r="B602" s="299" t="s">
        <v>2954</v>
      </c>
      <c r="C602" s="292" t="s">
        <v>4163</v>
      </c>
      <c r="D602" s="293">
        <v>9.18</v>
      </c>
      <c r="E602" s="293">
        <v>1.72</v>
      </c>
      <c r="F602" s="293" t="s">
        <v>2439</v>
      </c>
      <c r="G602" s="293"/>
      <c r="H602" s="296"/>
      <c r="I602" s="288"/>
      <c r="J602" s="288"/>
      <c r="K602" s="288"/>
    </row>
    <row r="603" spans="1:11">
      <c r="A603" s="287"/>
      <c r="B603" s="299" t="s">
        <v>2954</v>
      </c>
      <c r="C603" s="292" t="s">
        <v>4164</v>
      </c>
      <c r="D603" s="293">
        <v>9.86</v>
      </c>
      <c r="E603" s="293">
        <v>1.81</v>
      </c>
      <c r="F603" s="293" t="s">
        <v>2418</v>
      </c>
      <c r="G603" s="288"/>
      <c r="H603" s="296"/>
      <c r="I603" s="288"/>
      <c r="J603" s="288"/>
      <c r="K603" s="288"/>
    </row>
    <row r="604" spans="1:11">
      <c r="A604" s="287"/>
      <c r="B604" s="299" t="s">
        <v>2954</v>
      </c>
      <c r="C604" s="292" t="s">
        <v>4165</v>
      </c>
      <c r="D604" s="293">
        <v>9.3000000000000007</v>
      </c>
      <c r="E604" s="293">
        <v>1.75</v>
      </c>
      <c r="F604" s="293" t="s">
        <v>2437</v>
      </c>
      <c r="G604" s="288"/>
      <c r="I604" s="288"/>
      <c r="J604" s="288"/>
      <c r="K604" s="288"/>
    </row>
    <row r="605" spans="1:11">
      <c r="A605" s="287"/>
      <c r="B605" s="299" t="s">
        <v>2954</v>
      </c>
      <c r="C605" s="292" t="s">
        <v>4166</v>
      </c>
      <c r="D605" s="288" t="s">
        <v>2140</v>
      </c>
      <c r="E605" s="293">
        <v>1.97</v>
      </c>
      <c r="F605" s="293" t="s">
        <v>3668</v>
      </c>
      <c r="G605" s="288"/>
      <c r="I605" s="293"/>
      <c r="J605" s="293"/>
      <c r="K605" s="293"/>
    </row>
    <row r="606" spans="1:11">
      <c r="A606" s="287"/>
      <c r="B606" s="288" t="s">
        <v>2956</v>
      </c>
      <c r="C606" s="292" t="s">
        <v>4173</v>
      </c>
      <c r="D606" s="293">
        <v>10</v>
      </c>
      <c r="E606" s="293">
        <v>1.75</v>
      </c>
      <c r="F606" s="293" t="s">
        <v>344</v>
      </c>
      <c r="G606" s="293"/>
      <c r="I606" s="293"/>
      <c r="J606" s="293"/>
      <c r="K606" s="293"/>
    </row>
    <row r="607" spans="1:11">
      <c r="A607" s="287"/>
      <c r="B607" s="288" t="s">
        <v>2956</v>
      </c>
      <c r="C607" s="292" t="s">
        <v>4174</v>
      </c>
      <c r="D607" s="293">
        <v>10.5</v>
      </c>
      <c r="E607" s="293">
        <v>1.98</v>
      </c>
      <c r="F607" s="293" t="s">
        <v>330</v>
      </c>
      <c r="G607" s="293"/>
      <c r="I607" s="288"/>
      <c r="J607" s="288"/>
      <c r="K607" s="288"/>
    </row>
    <row r="608" spans="1:11">
      <c r="A608" s="287"/>
      <c r="B608" s="288" t="s">
        <v>2956</v>
      </c>
      <c r="C608" s="292" t="s">
        <v>4175</v>
      </c>
      <c r="D608" s="293">
        <v>10.74</v>
      </c>
      <c r="E608" s="293">
        <v>2.13</v>
      </c>
      <c r="F608" s="293" t="s">
        <v>2424</v>
      </c>
      <c r="G608" s="288"/>
      <c r="I608" s="293"/>
      <c r="J608" s="293"/>
      <c r="K608" s="293"/>
    </row>
    <row r="609" spans="1:11">
      <c r="A609" s="287"/>
      <c r="B609" s="288" t="s">
        <v>2956</v>
      </c>
      <c r="C609" s="292" t="s">
        <v>1644</v>
      </c>
      <c r="D609" s="293">
        <v>10.96</v>
      </c>
      <c r="E609" s="293">
        <v>1.78</v>
      </c>
      <c r="F609" s="293" t="s">
        <v>2406</v>
      </c>
      <c r="G609" s="288"/>
      <c r="H609" s="296"/>
      <c r="I609" s="288"/>
      <c r="J609" s="288"/>
      <c r="K609" s="288"/>
    </row>
    <row r="610" spans="1:11">
      <c r="A610" s="287"/>
      <c r="B610" s="288" t="s">
        <v>2956</v>
      </c>
      <c r="C610" s="292" t="s">
        <v>1645</v>
      </c>
      <c r="D610" s="293">
        <v>10.96</v>
      </c>
      <c r="E610" s="293">
        <v>1.96</v>
      </c>
      <c r="F610" s="293" t="s">
        <v>2406</v>
      </c>
      <c r="G610" s="288"/>
      <c r="H610" s="296"/>
      <c r="I610" s="293"/>
      <c r="J610" s="293"/>
      <c r="K610" s="293"/>
    </row>
    <row r="611" spans="1:11">
      <c r="A611" s="287"/>
      <c r="B611" s="288" t="s">
        <v>2956</v>
      </c>
      <c r="C611" s="292" t="s">
        <v>4479</v>
      </c>
      <c r="D611" s="288" t="s">
        <v>339</v>
      </c>
      <c r="E611" s="288" t="s">
        <v>4481</v>
      </c>
      <c r="F611" s="288" t="s">
        <v>1712</v>
      </c>
      <c r="G611" s="288"/>
      <c r="I611" s="293"/>
      <c r="J611" s="293"/>
      <c r="K611" s="293"/>
    </row>
    <row r="612" spans="1:11">
      <c r="A612" s="287"/>
      <c r="B612" s="288" t="s">
        <v>2956</v>
      </c>
      <c r="C612" s="292" t="s">
        <v>4480</v>
      </c>
      <c r="D612" s="288" t="s">
        <v>339</v>
      </c>
      <c r="E612" s="288" t="s">
        <v>4482</v>
      </c>
      <c r="F612" s="288" t="s">
        <v>1712</v>
      </c>
      <c r="G612" s="288"/>
      <c r="H612" s="296"/>
      <c r="I612" s="288"/>
      <c r="J612" s="288"/>
      <c r="K612" s="288"/>
    </row>
    <row r="613" spans="1:11">
      <c r="A613" s="287"/>
      <c r="B613" s="288" t="s">
        <v>2956</v>
      </c>
      <c r="C613" s="292" t="s">
        <v>4176</v>
      </c>
      <c r="D613" s="293">
        <v>11.15</v>
      </c>
      <c r="E613" s="293">
        <v>2.2000000000000002</v>
      </c>
      <c r="F613" s="288" t="s">
        <v>337</v>
      </c>
      <c r="G613" s="288"/>
      <c r="I613" s="288"/>
      <c r="J613" s="288"/>
      <c r="K613" s="288"/>
    </row>
    <row r="614" spans="1:11">
      <c r="A614" s="287"/>
      <c r="B614" s="288" t="s">
        <v>2956</v>
      </c>
      <c r="C614" s="292" t="s">
        <v>4177</v>
      </c>
      <c r="D614" s="293">
        <v>11.15</v>
      </c>
      <c r="E614" s="293">
        <v>2.2000000000000002</v>
      </c>
      <c r="F614" s="288" t="s">
        <v>337</v>
      </c>
      <c r="G614" s="288"/>
      <c r="H614" s="296"/>
      <c r="I614" s="288"/>
      <c r="J614" s="288"/>
      <c r="K614" s="288"/>
    </row>
    <row r="615" spans="1:11">
      <c r="A615" s="287"/>
      <c r="B615" s="288" t="s">
        <v>2956</v>
      </c>
      <c r="C615" s="292" t="s">
        <v>1647</v>
      </c>
      <c r="D615" s="293">
        <v>12.19</v>
      </c>
      <c r="E615" s="293">
        <v>1.75</v>
      </c>
      <c r="F615" s="293" t="s">
        <v>2406</v>
      </c>
      <c r="G615" s="293"/>
      <c r="H615" s="296"/>
      <c r="I615" s="288"/>
      <c r="J615" s="288"/>
      <c r="K615" s="288"/>
    </row>
    <row r="616" spans="1:11">
      <c r="A616" s="287"/>
      <c r="B616" s="288" t="s">
        <v>2956</v>
      </c>
      <c r="C616" s="292" t="s">
        <v>1646</v>
      </c>
      <c r="D616" s="293">
        <v>12.19</v>
      </c>
      <c r="E616" s="293">
        <v>2.13</v>
      </c>
      <c r="F616" s="293" t="s">
        <v>2406</v>
      </c>
      <c r="G616" s="293"/>
      <c r="I616" s="288"/>
      <c r="J616" s="288"/>
      <c r="K616" s="288"/>
    </row>
    <row r="617" spans="1:11">
      <c r="A617" s="287"/>
      <c r="B617" s="288" t="s">
        <v>2956</v>
      </c>
      <c r="C617" s="292" t="s">
        <v>4317</v>
      </c>
      <c r="D617" s="293">
        <v>12.19</v>
      </c>
      <c r="E617" s="293">
        <v>2.2000000000000002</v>
      </c>
      <c r="F617" s="288" t="s">
        <v>2427</v>
      </c>
      <c r="G617" s="288"/>
      <c r="I617" s="288"/>
      <c r="J617" s="288"/>
      <c r="K617" s="288"/>
    </row>
    <row r="618" spans="1:11">
      <c r="A618" s="287" t="s">
        <v>2407</v>
      </c>
      <c r="B618" s="288" t="s">
        <v>2956</v>
      </c>
      <c r="C618" s="292" t="s">
        <v>4318</v>
      </c>
      <c r="D618" s="288" t="s">
        <v>2139</v>
      </c>
      <c r="E618" s="293">
        <v>2.13</v>
      </c>
      <c r="F618" s="293" t="s">
        <v>2412</v>
      </c>
      <c r="G618" s="293"/>
      <c r="I618" s="288"/>
      <c r="J618" s="288"/>
      <c r="K618" s="288"/>
    </row>
    <row r="619" spans="1:11">
      <c r="A619" s="287" t="s">
        <v>2407</v>
      </c>
      <c r="B619" s="288" t="s">
        <v>2956</v>
      </c>
      <c r="C619" s="292" t="s">
        <v>4319</v>
      </c>
      <c r="D619" s="288" t="s">
        <v>2142</v>
      </c>
      <c r="E619" s="293">
        <v>2.4</v>
      </c>
      <c r="F619" s="293" t="s">
        <v>2409</v>
      </c>
      <c r="G619" s="288"/>
      <c r="I619" s="288"/>
      <c r="J619" s="288"/>
      <c r="K619" s="288"/>
    </row>
    <row r="620" spans="1:11">
      <c r="A620" s="287"/>
      <c r="B620" s="288" t="s">
        <v>2956</v>
      </c>
      <c r="C620" s="292" t="s">
        <v>1649</v>
      </c>
      <c r="D620" s="293">
        <v>13.01</v>
      </c>
      <c r="E620" s="293">
        <v>2.16</v>
      </c>
      <c r="F620" s="293" t="s">
        <v>3647</v>
      </c>
      <c r="G620" s="293"/>
      <c r="I620" s="288"/>
      <c r="J620" s="288"/>
      <c r="K620" s="288"/>
    </row>
    <row r="621" spans="1:11">
      <c r="A621" s="287"/>
      <c r="B621" s="288" t="s">
        <v>2956</v>
      </c>
      <c r="C621" s="292" t="s">
        <v>1648</v>
      </c>
      <c r="D621" s="293">
        <v>13.01</v>
      </c>
      <c r="E621" s="293">
        <v>2.59</v>
      </c>
      <c r="F621" s="293" t="s">
        <v>3647</v>
      </c>
      <c r="G621" s="293"/>
      <c r="I621" s="288"/>
      <c r="J621" s="288"/>
      <c r="K621" s="288"/>
    </row>
    <row r="622" spans="1:11">
      <c r="A622" s="287"/>
      <c r="B622" s="288" t="s">
        <v>2956</v>
      </c>
      <c r="C622" s="292" t="s">
        <v>4321</v>
      </c>
      <c r="D622" s="293">
        <v>13.11</v>
      </c>
      <c r="E622" s="293">
        <v>2.29</v>
      </c>
      <c r="F622" s="293" t="s">
        <v>2410</v>
      </c>
      <c r="G622" s="288"/>
      <c r="I622" s="288"/>
      <c r="J622" s="288"/>
      <c r="K622" s="288"/>
    </row>
    <row r="623" spans="1:11">
      <c r="A623" s="287"/>
      <c r="B623" s="288" t="s">
        <v>2956</v>
      </c>
      <c r="C623" s="292" t="s">
        <v>4320</v>
      </c>
      <c r="D623" s="293">
        <v>13.11</v>
      </c>
      <c r="E623" s="293">
        <v>2.29</v>
      </c>
      <c r="F623" s="293" t="s">
        <v>2410</v>
      </c>
      <c r="G623" s="288"/>
      <c r="I623" s="293"/>
      <c r="J623" s="293"/>
      <c r="K623" s="293"/>
    </row>
    <row r="624" spans="1:11">
      <c r="A624" s="287"/>
      <c r="B624" s="288" t="s">
        <v>2956</v>
      </c>
      <c r="C624" s="292" t="s">
        <v>1650</v>
      </c>
      <c r="D624" s="293">
        <v>14.64</v>
      </c>
      <c r="E624" s="293">
        <v>2.72</v>
      </c>
      <c r="F624" s="293" t="s">
        <v>366</v>
      </c>
      <c r="G624" s="288"/>
      <c r="I624" s="288"/>
      <c r="J624" s="288"/>
      <c r="K624" s="288"/>
    </row>
    <row r="625" spans="1:11">
      <c r="A625" s="287"/>
      <c r="B625" s="288" t="s">
        <v>2956</v>
      </c>
      <c r="C625" s="292" t="s">
        <v>1651</v>
      </c>
      <c r="D625" s="293">
        <v>14.64</v>
      </c>
      <c r="E625" s="293">
        <v>2.29</v>
      </c>
      <c r="F625" s="293" t="s">
        <v>366</v>
      </c>
      <c r="G625" s="288"/>
      <c r="I625" s="288"/>
      <c r="J625" s="288"/>
      <c r="K625" s="288"/>
    </row>
    <row r="626" spans="1:11">
      <c r="A626" s="287"/>
      <c r="B626" s="288" t="s">
        <v>2956</v>
      </c>
      <c r="C626" s="292" t="s">
        <v>1652</v>
      </c>
      <c r="D626" s="288" t="s">
        <v>2143</v>
      </c>
      <c r="E626" s="293">
        <v>2.15</v>
      </c>
      <c r="F626" s="293" t="s">
        <v>342</v>
      </c>
      <c r="G626" s="288"/>
      <c r="I626" s="288"/>
      <c r="J626" s="288"/>
      <c r="K626" s="288"/>
    </row>
    <row r="627" spans="1:11">
      <c r="A627" s="287"/>
      <c r="B627" s="288" t="s">
        <v>2956</v>
      </c>
      <c r="C627" s="292" t="s">
        <v>1653</v>
      </c>
      <c r="D627" s="288" t="s">
        <v>2143</v>
      </c>
      <c r="E627" s="293">
        <v>2.4</v>
      </c>
      <c r="F627" s="293" t="s">
        <v>342</v>
      </c>
      <c r="G627" s="288"/>
      <c r="H627" s="296"/>
      <c r="I627" s="288"/>
      <c r="J627" s="288"/>
      <c r="K627" s="288"/>
    </row>
    <row r="628" spans="1:11">
      <c r="A628" s="287"/>
      <c r="B628" s="288" t="s">
        <v>2956</v>
      </c>
      <c r="C628" s="292" t="s">
        <v>802</v>
      </c>
      <c r="D628" s="293">
        <v>6.86</v>
      </c>
      <c r="E628" s="293">
        <v>1.2</v>
      </c>
      <c r="F628" s="293" t="s">
        <v>328</v>
      </c>
      <c r="G628" s="288"/>
      <c r="I628" s="288"/>
      <c r="J628" s="288"/>
      <c r="K628" s="288"/>
    </row>
    <row r="629" spans="1:11">
      <c r="A629" s="287"/>
      <c r="B629" s="288" t="s">
        <v>2956</v>
      </c>
      <c r="C629" s="292" t="s">
        <v>803</v>
      </c>
      <c r="D629" s="293">
        <v>7.32</v>
      </c>
      <c r="E629" s="293">
        <v>1.25</v>
      </c>
      <c r="F629" s="293" t="s">
        <v>350</v>
      </c>
      <c r="G629" s="288"/>
      <c r="I629" s="288"/>
      <c r="J629" s="288"/>
      <c r="K629" s="288"/>
    </row>
    <row r="630" spans="1:11">
      <c r="A630" s="287"/>
      <c r="B630" s="288" t="s">
        <v>2956</v>
      </c>
      <c r="C630" s="292" t="s">
        <v>4322</v>
      </c>
      <c r="D630" s="293">
        <v>8.36</v>
      </c>
      <c r="E630" s="293">
        <v>1.52</v>
      </c>
      <c r="F630" s="293" t="s">
        <v>347</v>
      </c>
      <c r="G630" s="288"/>
      <c r="I630" s="293"/>
      <c r="J630" s="293"/>
      <c r="K630" s="293"/>
    </row>
    <row r="631" spans="1:11">
      <c r="A631" s="287"/>
      <c r="B631" s="288" t="s">
        <v>2956</v>
      </c>
      <c r="C631" s="292" t="s">
        <v>4323</v>
      </c>
      <c r="D631" s="293">
        <v>9</v>
      </c>
      <c r="E631" s="293">
        <v>1.75</v>
      </c>
      <c r="F631" s="293" t="s">
        <v>3616</v>
      </c>
      <c r="G631" s="288"/>
      <c r="I631" s="288"/>
      <c r="J631" s="288"/>
      <c r="K631" s="288"/>
    </row>
    <row r="632" spans="1:11">
      <c r="A632" s="287"/>
      <c r="B632" s="288" t="s">
        <v>2956</v>
      </c>
      <c r="C632" s="292" t="s">
        <v>4324</v>
      </c>
      <c r="D632" s="293">
        <v>9.09</v>
      </c>
      <c r="E632" s="293">
        <v>1.61</v>
      </c>
      <c r="F632" s="293" t="s">
        <v>2418</v>
      </c>
      <c r="G632" s="288"/>
      <c r="I632" s="293"/>
      <c r="J632" s="293"/>
      <c r="K632" s="293"/>
    </row>
    <row r="633" spans="1:11">
      <c r="A633" s="287"/>
      <c r="B633" s="288" t="s">
        <v>2956</v>
      </c>
      <c r="C633" s="292" t="s">
        <v>4325</v>
      </c>
      <c r="D633" s="293">
        <v>9.8800000000000008</v>
      </c>
      <c r="E633" s="293">
        <v>1.83</v>
      </c>
      <c r="F633" s="293" t="s">
        <v>2404</v>
      </c>
      <c r="G633" s="293"/>
      <c r="I633" s="288"/>
      <c r="J633" s="288"/>
      <c r="K633" s="288"/>
    </row>
    <row r="634" spans="1:11">
      <c r="A634" s="287"/>
      <c r="B634" s="288" t="s">
        <v>2956</v>
      </c>
      <c r="C634" s="292" t="s">
        <v>4326</v>
      </c>
      <c r="D634" s="288" t="s">
        <v>2144</v>
      </c>
      <c r="E634" s="293">
        <v>1.9</v>
      </c>
      <c r="F634" s="293" t="s">
        <v>352</v>
      </c>
      <c r="G634" s="288"/>
      <c r="H634" s="296"/>
      <c r="I634" s="288"/>
      <c r="J634" s="288"/>
      <c r="K634" s="288"/>
    </row>
    <row r="635" spans="1:11">
      <c r="A635" s="287" t="s">
        <v>2407</v>
      </c>
      <c r="B635" s="288" t="s">
        <v>2956</v>
      </c>
      <c r="C635" s="292" t="s">
        <v>4327</v>
      </c>
      <c r="D635" s="288" t="s">
        <v>2145</v>
      </c>
      <c r="E635" s="293">
        <v>1.86</v>
      </c>
      <c r="F635" s="293" t="s">
        <v>355</v>
      </c>
      <c r="G635" s="288"/>
      <c r="I635" s="288"/>
      <c r="J635" s="288"/>
      <c r="K635" s="288"/>
    </row>
    <row r="636" spans="1:11">
      <c r="A636" s="287"/>
      <c r="B636" s="288" t="s">
        <v>2956</v>
      </c>
      <c r="C636" s="292" t="s">
        <v>4328</v>
      </c>
      <c r="D636" s="293">
        <v>10.82</v>
      </c>
      <c r="E636" s="293">
        <v>2.14</v>
      </c>
      <c r="F636" s="293" t="s">
        <v>3668</v>
      </c>
      <c r="G636" s="288"/>
      <c r="H636" s="296"/>
      <c r="I636" s="293"/>
      <c r="J636" s="293"/>
      <c r="K636" s="293"/>
    </row>
    <row r="637" spans="1:11">
      <c r="A637" s="287"/>
      <c r="B637" s="288" t="s">
        <v>2956</v>
      </c>
      <c r="C637" s="292" t="s">
        <v>4329</v>
      </c>
      <c r="D637" s="293">
        <v>10.96</v>
      </c>
      <c r="E637" s="293">
        <v>2.02</v>
      </c>
      <c r="F637" s="293" t="s">
        <v>2435</v>
      </c>
      <c r="G637" s="288"/>
      <c r="I637" s="288"/>
      <c r="J637" s="288"/>
      <c r="K637" s="288"/>
    </row>
    <row r="638" spans="1:11">
      <c r="A638" s="287"/>
      <c r="B638" s="288" t="s">
        <v>2956</v>
      </c>
      <c r="C638" s="292" t="s">
        <v>4330</v>
      </c>
      <c r="D638" s="293">
        <v>12.35</v>
      </c>
      <c r="E638" s="293">
        <v>1.64</v>
      </c>
      <c r="F638" s="293" t="s">
        <v>3069</v>
      </c>
      <c r="G638" s="288"/>
      <c r="I638" s="288"/>
      <c r="J638" s="288"/>
      <c r="K638" s="288"/>
    </row>
    <row r="639" spans="1:11">
      <c r="A639" s="287"/>
      <c r="B639" s="288" t="s">
        <v>2956</v>
      </c>
      <c r="C639" s="292" t="s">
        <v>1654</v>
      </c>
      <c r="D639" s="288" t="s">
        <v>1255</v>
      </c>
      <c r="E639" s="293">
        <v>2.0099999999999998</v>
      </c>
      <c r="F639" s="293" t="s">
        <v>342</v>
      </c>
      <c r="G639" s="288"/>
      <c r="I639" s="288"/>
      <c r="J639" s="288"/>
      <c r="K639" s="288"/>
    </row>
    <row r="640" spans="1:11">
      <c r="A640" s="287"/>
      <c r="B640" s="288" t="s">
        <v>2956</v>
      </c>
      <c r="C640" s="292" t="s">
        <v>4331</v>
      </c>
      <c r="D640" s="288" t="s">
        <v>1256</v>
      </c>
      <c r="E640" s="293">
        <v>2.4700000000000002</v>
      </c>
      <c r="F640" s="293" t="s">
        <v>2442</v>
      </c>
      <c r="G640" s="293"/>
      <c r="H640" s="296"/>
      <c r="I640" s="293"/>
      <c r="J640" s="293"/>
      <c r="K640" s="293"/>
    </row>
    <row r="641" spans="1:11">
      <c r="A641" s="287"/>
      <c r="B641" s="288" t="s">
        <v>2956</v>
      </c>
      <c r="C641" s="292" t="s">
        <v>1655</v>
      </c>
      <c r="D641" s="288" t="s">
        <v>1257</v>
      </c>
      <c r="E641" s="293">
        <v>1.86</v>
      </c>
      <c r="F641" s="293" t="s">
        <v>364</v>
      </c>
      <c r="G641" s="288"/>
      <c r="I641" s="288"/>
      <c r="J641" s="288"/>
      <c r="K641" s="288"/>
    </row>
    <row r="642" spans="1:11">
      <c r="A642" s="287"/>
      <c r="B642" s="288" t="s">
        <v>2956</v>
      </c>
      <c r="C642" s="292" t="s">
        <v>1656</v>
      </c>
      <c r="D642" s="293">
        <v>14.04</v>
      </c>
      <c r="E642" s="293">
        <v>2.35</v>
      </c>
      <c r="F642" s="293" t="s">
        <v>364</v>
      </c>
      <c r="G642" s="293"/>
      <c r="I642" s="288"/>
      <c r="J642" s="288"/>
      <c r="K642" s="288"/>
    </row>
    <row r="643" spans="1:11">
      <c r="A643" s="287" t="s">
        <v>2407</v>
      </c>
      <c r="B643" s="288" t="s">
        <v>2956</v>
      </c>
      <c r="C643" s="292" t="s">
        <v>4332</v>
      </c>
      <c r="D643" s="293">
        <v>19.66</v>
      </c>
      <c r="E643" s="293">
        <v>3.24</v>
      </c>
      <c r="F643" s="288" t="s">
        <v>2412</v>
      </c>
      <c r="G643" s="293"/>
      <c r="I643" s="288"/>
      <c r="J643" s="288"/>
      <c r="K643" s="288"/>
    </row>
    <row r="644" spans="1:11">
      <c r="A644" s="287"/>
      <c r="B644" s="288" t="s">
        <v>2956</v>
      </c>
      <c r="C644" s="292" t="s">
        <v>2873</v>
      </c>
      <c r="D644" s="288" t="s">
        <v>830</v>
      </c>
      <c r="E644" s="288" t="s">
        <v>831</v>
      </c>
      <c r="F644" s="288" t="s">
        <v>3089</v>
      </c>
      <c r="G644" s="288"/>
      <c r="H644" s="296"/>
      <c r="I644" s="293"/>
      <c r="J644" s="293"/>
      <c r="K644" s="293"/>
    </row>
    <row r="645" spans="1:11">
      <c r="A645" s="287"/>
      <c r="B645" s="288" t="s">
        <v>2956</v>
      </c>
      <c r="C645" s="292" t="s">
        <v>2874</v>
      </c>
      <c r="D645" s="293">
        <v>8</v>
      </c>
      <c r="E645" s="293">
        <v>1.49</v>
      </c>
      <c r="F645" s="293" t="s">
        <v>376</v>
      </c>
      <c r="G645" s="288"/>
      <c r="I645" s="293"/>
      <c r="J645" s="293"/>
      <c r="K645" s="293"/>
    </row>
    <row r="646" spans="1:11">
      <c r="A646" s="287"/>
      <c r="B646" s="288" t="s">
        <v>2956</v>
      </c>
      <c r="C646" s="292" t="s">
        <v>609</v>
      </c>
      <c r="D646" s="288" t="s">
        <v>610</v>
      </c>
      <c r="E646" s="288" t="s">
        <v>2058</v>
      </c>
      <c r="F646" s="288" t="s">
        <v>1154</v>
      </c>
      <c r="G646" s="288"/>
      <c r="I646" s="288"/>
      <c r="J646" s="288"/>
      <c r="K646" s="288"/>
    </row>
    <row r="647" spans="1:11">
      <c r="A647" s="287"/>
      <c r="B647" s="288" t="s">
        <v>2956</v>
      </c>
      <c r="C647" s="292" t="s">
        <v>1657</v>
      </c>
      <c r="D647" s="293">
        <v>9.14</v>
      </c>
      <c r="E647" s="293">
        <v>1.79</v>
      </c>
      <c r="F647" s="293" t="s">
        <v>3647</v>
      </c>
      <c r="G647" s="293"/>
      <c r="H647" s="296"/>
      <c r="I647" s="293"/>
      <c r="J647" s="293"/>
      <c r="K647" s="293"/>
    </row>
    <row r="648" spans="1:11">
      <c r="A648" s="287"/>
      <c r="B648" s="288" t="s">
        <v>2956</v>
      </c>
      <c r="C648" s="292" t="s">
        <v>1658</v>
      </c>
      <c r="D648" s="293">
        <v>9.14</v>
      </c>
      <c r="E648" s="293">
        <v>1.9</v>
      </c>
      <c r="F648" s="293" t="s">
        <v>3647</v>
      </c>
      <c r="G648" s="288"/>
      <c r="I648" s="293"/>
      <c r="J648" s="293"/>
      <c r="K648" s="293"/>
    </row>
    <row r="649" spans="1:11">
      <c r="A649" s="287"/>
      <c r="B649" s="288" t="s">
        <v>2956</v>
      </c>
      <c r="C649" s="292" t="s">
        <v>4333</v>
      </c>
      <c r="D649" s="293">
        <v>9.51</v>
      </c>
      <c r="E649" s="293">
        <v>1.68</v>
      </c>
      <c r="F649" s="288" t="s">
        <v>2411</v>
      </c>
      <c r="G649" s="288"/>
      <c r="H649" s="296"/>
      <c r="I649" s="293"/>
      <c r="J649" s="293"/>
      <c r="K649" s="293"/>
    </row>
    <row r="650" spans="1:11">
      <c r="A650" s="287"/>
      <c r="B650" s="288" t="s">
        <v>2956</v>
      </c>
      <c r="C650" s="292" t="s">
        <v>4334</v>
      </c>
      <c r="D650" s="288" t="s">
        <v>1258</v>
      </c>
      <c r="E650" s="293">
        <v>1.92</v>
      </c>
      <c r="F650" s="288" t="s">
        <v>2411</v>
      </c>
      <c r="G650" s="288"/>
      <c r="I650" s="293"/>
      <c r="J650" s="293"/>
      <c r="K650" s="293"/>
    </row>
    <row r="651" spans="1:11">
      <c r="A651" s="287"/>
      <c r="B651" s="288" t="s">
        <v>2957</v>
      </c>
      <c r="C651" s="292" t="s">
        <v>4335</v>
      </c>
      <c r="D651" s="293">
        <v>6.52</v>
      </c>
      <c r="E651" s="288" t="s">
        <v>327</v>
      </c>
      <c r="F651" s="293" t="s">
        <v>3635</v>
      </c>
      <c r="G651" s="293"/>
      <c r="H651" s="296"/>
      <c r="I651" s="288"/>
      <c r="J651" s="288"/>
      <c r="K651" s="288"/>
    </row>
    <row r="652" spans="1:11">
      <c r="A652" s="287"/>
      <c r="B652" s="288" t="s">
        <v>2957</v>
      </c>
      <c r="C652" s="292" t="s">
        <v>4336</v>
      </c>
      <c r="D652" s="293">
        <v>6.55</v>
      </c>
      <c r="E652" s="288" t="s">
        <v>327</v>
      </c>
      <c r="F652" s="293" t="s">
        <v>3618</v>
      </c>
      <c r="G652" s="288"/>
      <c r="H652" s="296"/>
      <c r="I652" s="293"/>
      <c r="J652" s="293"/>
      <c r="K652" s="293"/>
    </row>
    <row r="653" spans="1:11">
      <c r="A653" s="287"/>
      <c r="B653" s="288" t="s">
        <v>2958</v>
      </c>
      <c r="C653" s="292" t="s">
        <v>1704</v>
      </c>
      <c r="D653" s="288" t="s">
        <v>2138</v>
      </c>
      <c r="E653" s="288" t="s">
        <v>1705</v>
      </c>
      <c r="F653" s="288" t="s">
        <v>328</v>
      </c>
      <c r="G653" s="288"/>
      <c r="I653" s="288"/>
      <c r="J653" s="288"/>
      <c r="K653" s="288"/>
    </row>
    <row r="654" spans="1:11">
      <c r="A654" s="287"/>
      <c r="B654" s="288" t="s">
        <v>2958</v>
      </c>
      <c r="C654" s="292" t="s">
        <v>4337</v>
      </c>
      <c r="D654" s="293">
        <v>10.6</v>
      </c>
      <c r="E654" s="293">
        <v>1.95</v>
      </c>
      <c r="F654" s="293" t="s">
        <v>330</v>
      </c>
      <c r="G654" s="288"/>
      <c r="H654" s="296"/>
      <c r="I654" s="288"/>
      <c r="J654" s="288"/>
      <c r="K654" s="288"/>
    </row>
    <row r="655" spans="1:11">
      <c r="A655" s="287"/>
      <c r="B655" s="288" t="s">
        <v>2958</v>
      </c>
      <c r="C655" s="292" t="s">
        <v>2878</v>
      </c>
      <c r="D655" s="293">
        <v>10.17</v>
      </c>
      <c r="E655" s="293">
        <v>1.9</v>
      </c>
      <c r="F655" s="293" t="s">
        <v>3618</v>
      </c>
      <c r="G655" s="293"/>
      <c r="H655" s="296"/>
      <c r="I655" s="288"/>
      <c r="J655" s="288"/>
      <c r="K655" s="288"/>
    </row>
    <row r="656" spans="1:11">
      <c r="A656" s="287"/>
      <c r="B656" s="288" t="s">
        <v>2958</v>
      </c>
      <c r="C656" s="292" t="s">
        <v>276</v>
      </c>
      <c r="D656" s="293">
        <v>10.87</v>
      </c>
      <c r="E656" s="293">
        <v>1.87</v>
      </c>
      <c r="F656" s="288" t="s">
        <v>3668</v>
      </c>
      <c r="G656" s="293"/>
      <c r="H656" s="296"/>
      <c r="I656" s="288"/>
      <c r="J656" s="288"/>
      <c r="K656" s="288"/>
    </row>
    <row r="657" spans="1:11">
      <c r="A657" s="287"/>
      <c r="B657" s="288" t="s">
        <v>2958</v>
      </c>
      <c r="C657" s="292" t="s">
        <v>2217</v>
      </c>
      <c r="D657" s="293">
        <v>6.2</v>
      </c>
      <c r="E657" s="288" t="s">
        <v>327</v>
      </c>
      <c r="F657" s="293" t="s">
        <v>366</v>
      </c>
      <c r="G657" s="288"/>
      <c r="I657" s="288"/>
      <c r="J657" s="288"/>
      <c r="K657" s="288"/>
    </row>
    <row r="658" spans="1:11">
      <c r="A658" s="287"/>
      <c r="B658" s="288" t="s">
        <v>2958</v>
      </c>
      <c r="C658" s="292" t="s">
        <v>2218</v>
      </c>
      <c r="D658" s="288" t="s">
        <v>1299</v>
      </c>
      <c r="E658" s="293">
        <v>1.95</v>
      </c>
      <c r="F658" s="293" t="s">
        <v>352</v>
      </c>
      <c r="G658" s="293"/>
      <c r="I658" s="288"/>
      <c r="J658" s="288"/>
      <c r="K658" s="288"/>
    </row>
    <row r="659" spans="1:11">
      <c r="A659" s="287"/>
      <c r="B659" s="288" t="s">
        <v>2958</v>
      </c>
      <c r="C659" s="292" t="s">
        <v>2219</v>
      </c>
      <c r="D659" s="293">
        <v>10.8</v>
      </c>
      <c r="E659" s="293">
        <v>1.95</v>
      </c>
      <c r="F659" s="293" t="s">
        <v>352</v>
      </c>
      <c r="G659" s="293"/>
      <c r="I659" s="288"/>
      <c r="J659" s="288"/>
      <c r="K659" s="288"/>
    </row>
    <row r="660" spans="1:11">
      <c r="A660" s="287"/>
      <c r="B660" s="288" t="s">
        <v>2958</v>
      </c>
      <c r="C660" s="292" t="s">
        <v>2220</v>
      </c>
      <c r="D660" s="293">
        <v>8.25</v>
      </c>
      <c r="E660" s="293">
        <v>1.64</v>
      </c>
      <c r="F660" s="293" t="s">
        <v>3069</v>
      </c>
      <c r="G660" s="293"/>
      <c r="I660" s="288"/>
      <c r="J660" s="288"/>
      <c r="K660" s="288"/>
    </row>
    <row r="661" spans="1:11">
      <c r="A661" s="287"/>
      <c r="B661" s="288" t="s">
        <v>2958</v>
      </c>
      <c r="C661" s="292" t="s">
        <v>2221</v>
      </c>
      <c r="D661" s="293">
        <v>8.25</v>
      </c>
      <c r="E661" s="293">
        <v>1.9</v>
      </c>
      <c r="F661" s="293" t="s">
        <v>3069</v>
      </c>
      <c r="G661" s="293"/>
      <c r="I661" s="288"/>
      <c r="J661" s="288"/>
      <c r="K661" s="288"/>
    </row>
    <row r="662" spans="1:11">
      <c r="A662" s="287"/>
      <c r="B662" s="288" t="s">
        <v>2958</v>
      </c>
      <c r="C662" s="292" t="s">
        <v>2222</v>
      </c>
      <c r="D662" s="293">
        <v>6.1</v>
      </c>
      <c r="E662" s="288" t="s">
        <v>327</v>
      </c>
      <c r="F662" s="293" t="s">
        <v>376</v>
      </c>
      <c r="G662" s="288"/>
      <c r="I662" s="288"/>
      <c r="J662" s="288"/>
      <c r="K662" s="288"/>
    </row>
    <row r="663" spans="1:11">
      <c r="A663" s="287"/>
      <c r="B663" s="288" t="s">
        <v>2958</v>
      </c>
      <c r="C663" s="292" t="s">
        <v>2223</v>
      </c>
      <c r="D663" s="293">
        <v>9.1999999999999993</v>
      </c>
      <c r="E663" s="293">
        <v>1.75</v>
      </c>
      <c r="F663" s="293" t="s">
        <v>2405</v>
      </c>
      <c r="G663" s="293"/>
      <c r="I663" s="288"/>
      <c r="J663" s="288"/>
      <c r="K663" s="288"/>
    </row>
    <row r="664" spans="1:11">
      <c r="A664" s="287"/>
      <c r="B664" s="288" t="s">
        <v>2958</v>
      </c>
      <c r="C664" s="292" t="s">
        <v>2224</v>
      </c>
      <c r="D664" s="293">
        <v>9.32</v>
      </c>
      <c r="E664" s="293">
        <v>1.95</v>
      </c>
      <c r="F664" s="293" t="s">
        <v>2406</v>
      </c>
      <c r="G664" s="288"/>
      <c r="I664" s="288"/>
      <c r="J664" s="288"/>
      <c r="K664" s="288"/>
    </row>
    <row r="665" spans="1:11">
      <c r="A665" s="287"/>
      <c r="B665" s="288" t="s">
        <v>2958</v>
      </c>
      <c r="C665" s="292" t="s">
        <v>2226</v>
      </c>
      <c r="D665" s="293">
        <v>9.7799999999999994</v>
      </c>
      <c r="E665" s="293">
        <v>1.9</v>
      </c>
      <c r="F665" s="288" t="s">
        <v>2413</v>
      </c>
      <c r="G665" s="288"/>
      <c r="I665" s="288"/>
      <c r="J665" s="288"/>
      <c r="K665" s="288"/>
    </row>
    <row r="666" spans="1:11">
      <c r="A666" s="287"/>
      <c r="B666" s="288" t="s">
        <v>2958</v>
      </c>
      <c r="C666" s="292" t="s">
        <v>2225</v>
      </c>
      <c r="D666" s="293">
        <v>9.4499999999999993</v>
      </c>
      <c r="E666" s="293">
        <v>1.98</v>
      </c>
      <c r="F666" s="293" t="s">
        <v>2424</v>
      </c>
      <c r="G666" s="288"/>
      <c r="I666" s="288"/>
      <c r="J666" s="288"/>
      <c r="K666" s="288"/>
    </row>
    <row r="667" spans="1:11">
      <c r="A667" s="287"/>
      <c r="B667" s="288" t="s">
        <v>2958</v>
      </c>
      <c r="C667" s="292" t="s">
        <v>2227</v>
      </c>
      <c r="D667" s="293">
        <v>10.43</v>
      </c>
      <c r="E667" s="293">
        <v>2.15</v>
      </c>
      <c r="F667" s="293" t="s">
        <v>2410</v>
      </c>
      <c r="G667" s="288"/>
      <c r="I667" s="288"/>
      <c r="J667" s="288"/>
      <c r="K667" s="288"/>
    </row>
    <row r="668" spans="1:11">
      <c r="A668" s="287"/>
      <c r="B668" s="288" t="s">
        <v>2958</v>
      </c>
      <c r="C668" s="292" t="s">
        <v>1659</v>
      </c>
      <c r="D668" s="293">
        <v>11.11</v>
      </c>
      <c r="E668" s="293">
        <v>1.96</v>
      </c>
      <c r="F668" s="293" t="s">
        <v>3647</v>
      </c>
      <c r="G668" s="288"/>
      <c r="I668" s="293"/>
      <c r="J668" s="293"/>
      <c r="K668" s="293"/>
    </row>
    <row r="669" spans="1:11">
      <c r="A669" s="287"/>
      <c r="B669" s="288" t="s">
        <v>2958</v>
      </c>
      <c r="C669" s="292" t="s">
        <v>482</v>
      </c>
      <c r="D669" s="288" t="s">
        <v>1300</v>
      </c>
      <c r="E669" s="288" t="s">
        <v>483</v>
      </c>
      <c r="F669" s="293" t="s">
        <v>3647</v>
      </c>
      <c r="G669" s="288"/>
      <c r="I669" s="288"/>
      <c r="J669" s="288"/>
      <c r="K669" s="288"/>
    </row>
    <row r="670" spans="1:11">
      <c r="A670" s="287"/>
      <c r="B670" s="288" t="s">
        <v>2958</v>
      </c>
      <c r="C670" s="292" t="s">
        <v>614</v>
      </c>
      <c r="D670" s="288" t="s">
        <v>596</v>
      </c>
      <c r="E670" s="288" t="s">
        <v>471</v>
      </c>
      <c r="F670" s="288" t="s">
        <v>1154</v>
      </c>
      <c r="G670" s="288"/>
      <c r="H670" s="296"/>
      <c r="I670" s="288"/>
      <c r="J670" s="288"/>
      <c r="K670" s="288"/>
    </row>
    <row r="671" spans="1:11">
      <c r="A671" s="287"/>
      <c r="B671" s="288" t="s">
        <v>2958</v>
      </c>
      <c r="C671" s="292" t="s">
        <v>2228</v>
      </c>
      <c r="D671" s="293">
        <v>10.95</v>
      </c>
      <c r="E671" s="293">
        <v>2.0699999999999998</v>
      </c>
      <c r="F671" s="293" t="s">
        <v>364</v>
      </c>
      <c r="G671" s="288"/>
      <c r="I671" s="288"/>
      <c r="J671" s="288"/>
      <c r="K671" s="288"/>
    </row>
    <row r="672" spans="1:11">
      <c r="A672" s="287"/>
      <c r="B672" s="288" t="s">
        <v>2958</v>
      </c>
      <c r="C672" s="292" t="s">
        <v>484</v>
      </c>
      <c r="D672" s="288" t="s">
        <v>1299</v>
      </c>
      <c r="E672" s="288" t="s">
        <v>2058</v>
      </c>
      <c r="F672" s="288" t="s">
        <v>352</v>
      </c>
      <c r="G672" s="288"/>
      <c r="I672" s="288"/>
      <c r="J672" s="288"/>
      <c r="K672" s="288"/>
    </row>
    <row r="673" spans="1:11">
      <c r="A673" s="287"/>
      <c r="B673" s="288" t="s">
        <v>2958</v>
      </c>
      <c r="C673" s="292" t="s">
        <v>2229</v>
      </c>
      <c r="D673" s="293">
        <v>11.75</v>
      </c>
      <c r="E673" s="293">
        <v>2.4</v>
      </c>
      <c r="F673" s="293" t="s">
        <v>2409</v>
      </c>
      <c r="G673" s="288"/>
      <c r="I673" s="288"/>
      <c r="J673" s="288"/>
      <c r="K673" s="288"/>
    </row>
    <row r="674" spans="1:11">
      <c r="A674" s="287"/>
      <c r="B674" s="288" t="s">
        <v>2958</v>
      </c>
      <c r="C674" s="292" t="s">
        <v>2230</v>
      </c>
      <c r="D674" s="293">
        <v>11.75</v>
      </c>
      <c r="E674" s="293">
        <v>2.1</v>
      </c>
      <c r="F674" s="293" t="s">
        <v>2412</v>
      </c>
      <c r="G674" s="288"/>
      <c r="I674" s="288"/>
      <c r="J674" s="288"/>
      <c r="K674" s="288"/>
    </row>
    <row r="675" spans="1:11">
      <c r="A675" s="287"/>
      <c r="B675" s="288" t="s">
        <v>2958</v>
      </c>
      <c r="C675" s="292" t="s">
        <v>4099</v>
      </c>
      <c r="D675" s="293">
        <v>12.43</v>
      </c>
      <c r="E675" s="293">
        <v>2.2999999999999998</v>
      </c>
      <c r="F675" s="293" t="s">
        <v>342</v>
      </c>
      <c r="G675" s="288"/>
      <c r="I675" s="288"/>
      <c r="J675" s="288"/>
      <c r="K675" s="288"/>
    </row>
    <row r="676" spans="1:11">
      <c r="A676" s="287"/>
      <c r="B676" s="288" t="s">
        <v>2958</v>
      </c>
      <c r="C676" s="292" t="s">
        <v>4100</v>
      </c>
      <c r="D676" s="293">
        <v>12.8</v>
      </c>
      <c r="E676" s="293">
        <v>2.5499999999999998</v>
      </c>
      <c r="F676" s="293" t="s">
        <v>2424</v>
      </c>
      <c r="G676" s="288"/>
      <c r="I676" s="288"/>
      <c r="J676" s="288"/>
      <c r="K676" s="288"/>
    </row>
    <row r="677" spans="1:11">
      <c r="A677" s="287"/>
      <c r="B677" s="288" t="s">
        <v>2958</v>
      </c>
      <c r="C677" s="292" t="s">
        <v>4101</v>
      </c>
      <c r="D677" s="293">
        <v>15.52</v>
      </c>
      <c r="E677" s="293">
        <v>2.75</v>
      </c>
      <c r="F677" s="293" t="s">
        <v>330</v>
      </c>
      <c r="G677" s="288"/>
      <c r="I677" s="288"/>
      <c r="J677" s="288"/>
      <c r="K677" s="288"/>
    </row>
    <row r="678" spans="1:11">
      <c r="A678" s="287"/>
      <c r="B678" s="288" t="s">
        <v>2958</v>
      </c>
      <c r="C678" s="292" t="s">
        <v>4102</v>
      </c>
      <c r="D678" s="288" t="s">
        <v>2044</v>
      </c>
      <c r="E678" s="293">
        <v>1.96</v>
      </c>
      <c r="F678" s="293" t="s">
        <v>2435</v>
      </c>
      <c r="G678" s="288"/>
      <c r="I678" s="293"/>
      <c r="J678" s="293"/>
      <c r="K678" s="293"/>
    </row>
    <row r="679" spans="1:11">
      <c r="A679" s="287"/>
      <c r="B679" s="288" t="s">
        <v>2958</v>
      </c>
      <c r="C679" s="292" t="s">
        <v>4103</v>
      </c>
      <c r="D679" s="293">
        <v>12.3</v>
      </c>
      <c r="E679" s="293">
        <v>1.95</v>
      </c>
      <c r="F679" s="293" t="s">
        <v>2435</v>
      </c>
      <c r="G679" s="288"/>
      <c r="I679" s="288"/>
      <c r="J679" s="288"/>
      <c r="K679" s="288"/>
    </row>
    <row r="680" spans="1:11">
      <c r="A680" s="287"/>
      <c r="B680" s="288" t="s">
        <v>2958</v>
      </c>
      <c r="C680" s="292" t="s">
        <v>4104</v>
      </c>
      <c r="D680" s="288" t="s">
        <v>2044</v>
      </c>
      <c r="E680" s="288" t="s">
        <v>327</v>
      </c>
      <c r="F680" s="293" t="s">
        <v>2435</v>
      </c>
      <c r="G680" s="293"/>
      <c r="I680" s="288"/>
      <c r="J680" s="288"/>
      <c r="K680" s="288"/>
    </row>
    <row r="681" spans="1:11">
      <c r="A681" s="287"/>
      <c r="B681" s="288" t="s">
        <v>2958</v>
      </c>
      <c r="C681" s="292" t="s">
        <v>4105</v>
      </c>
      <c r="D681" s="288" t="s">
        <v>2076</v>
      </c>
      <c r="E681" s="293">
        <v>2.13</v>
      </c>
      <c r="F681" s="293" t="s">
        <v>2435</v>
      </c>
      <c r="G681" s="288"/>
      <c r="I681" s="288"/>
      <c r="J681" s="288"/>
      <c r="K681" s="288"/>
    </row>
    <row r="682" spans="1:11">
      <c r="A682" s="287"/>
      <c r="B682" s="288" t="s">
        <v>2958</v>
      </c>
      <c r="C682" s="292" t="s">
        <v>4106</v>
      </c>
      <c r="D682" s="288" t="s">
        <v>2076</v>
      </c>
      <c r="E682" s="288" t="s">
        <v>327</v>
      </c>
      <c r="F682" s="293" t="s">
        <v>2435</v>
      </c>
      <c r="G682" s="288"/>
      <c r="H682" s="296"/>
      <c r="I682" s="288"/>
      <c r="J682" s="288"/>
      <c r="K682" s="288"/>
    </row>
    <row r="683" spans="1:11">
      <c r="A683" s="287"/>
      <c r="B683" s="288" t="s">
        <v>2958</v>
      </c>
      <c r="C683" s="292" t="s">
        <v>4107</v>
      </c>
      <c r="D683" s="293">
        <v>13.9</v>
      </c>
      <c r="E683" s="293">
        <v>2.1</v>
      </c>
      <c r="F683" s="293" t="s">
        <v>3069</v>
      </c>
      <c r="G683" s="288"/>
      <c r="I683" s="288"/>
      <c r="J683" s="288"/>
      <c r="K683" s="288"/>
    </row>
    <row r="684" spans="1:11">
      <c r="A684" s="287"/>
      <c r="B684" s="288" t="s">
        <v>2958</v>
      </c>
      <c r="C684" s="292" t="s">
        <v>4108</v>
      </c>
      <c r="D684" s="293">
        <v>12.25</v>
      </c>
      <c r="E684" s="293">
        <v>1.95</v>
      </c>
      <c r="F684" s="293" t="s">
        <v>3069</v>
      </c>
      <c r="G684" s="288"/>
      <c r="I684" s="293"/>
      <c r="J684" s="293"/>
      <c r="K684" s="293"/>
    </row>
    <row r="685" spans="1:11">
      <c r="A685" s="287"/>
      <c r="B685" s="288" t="s">
        <v>2958</v>
      </c>
      <c r="C685" s="292" t="s">
        <v>4109</v>
      </c>
      <c r="D685" s="293">
        <v>8.9</v>
      </c>
      <c r="E685" s="293">
        <v>1.45</v>
      </c>
      <c r="F685" s="293" t="s">
        <v>3069</v>
      </c>
      <c r="G685" s="288"/>
      <c r="I685" s="293"/>
      <c r="J685" s="293"/>
      <c r="K685" s="293"/>
    </row>
    <row r="686" spans="1:11">
      <c r="A686" s="287"/>
      <c r="B686" s="288" t="s">
        <v>2958</v>
      </c>
      <c r="C686" s="292" t="s">
        <v>4110</v>
      </c>
      <c r="D686" s="293">
        <v>13.1</v>
      </c>
      <c r="E686" s="293">
        <v>2.12</v>
      </c>
      <c r="F686" s="293" t="s">
        <v>347</v>
      </c>
      <c r="G686" s="288"/>
      <c r="I686" s="293"/>
      <c r="J686" s="293"/>
      <c r="K686" s="293"/>
    </row>
    <row r="687" spans="1:11">
      <c r="A687" s="287"/>
      <c r="B687" s="288" t="s">
        <v>2958</v>
      </c>
      <c r="C687" s="292" t="s">
        <v>4111</v>
      </c>
      <c r="D687" s="293">
        <v>13.25</v>
      </c>
      <c r="E687" s="293">
        <v>2.1</v>
      </c>
      <c r="F687" s="293" t="s">
        <v>347</v>
      </c>
      <c r="G687" s="288"/>
      <c r="I687" s="293"/>
      <c r="J687" s="293"/>
      <c r="K687" s="293"/>
    </row>
    <row r="688" spans="1:11">
      <c r="A688" s="287"/>
      <c r="B688" s="288" t="s">
        <v>2958</v>
      </c>
      <c r="C688" s="292" t="s">
        <v>4113</v>
      </c>
      <c r="D688" s="293">
        <v>9.3000000000000007</v>
      </c>
      <c r="E688" s="293">
        <v>1.45</v>
      </c>
      <c r="F688" s="293" t="s">
        <v>2409</v>
      </c>
      <c r="G688" s="288"/>
      <c r="H688" s="296"/>
      <c r="I688" s="293"/>
      <c r="J688" s="293"/>
      <c r="K688" s="293"/>
    </row>
    <row r="689" spans="1:11">
      <c r="A689" s="287"/>
      <c r="B689" s="288" t="s">
        <v>2958</v>
      </c>
      <c r="C689" s="292" t="s">
        <v>4112</v>
      </c>
      <c r="D689" s="293">
        <v>9.6</v>
      </c>
      <c r="E689" s="293">
        <v>2</v>
      </c>
      <c r="F689" s="288" t="s">
        <v>2413</v>
      </c>
      <c r="G689" s="288"/>
      <c r="H689" s="296"/>
      <c r="I689" s="293"/>
      <c r="J689" s="293"/>
      <c r="K689" s="293"/>
    </row>
    <row r="690" spans="1:11">
      <c r="A690" s="287"/>
      <c r="B690" s="288" t="s">
        <v>2958</v>
      </c>
      <c r="C690" s="292" t="s">
        <v>4115</v>
      </c>
      <c r="D690" s="293">
        <v>9.98</v>
      </c>
      <c r="E690" s="293">
        <v>1.97</v>
      </c>
      <c r="F690" s="293" t="s">
        <v>376</v>
      </c>
      <c r="G690" s="293"/>
      <c r="H690" s="296"/>
      <c r="I690" s="293"/>
      <c r="J690" s="293"/>
      <c r="K690" s="293"/>
    </row>
    <row r="691" spans="1:11">
      <c r="A691" s="287"/>
      <c r="B691" s="288" t="s">
        <v>2958</v>
      </c>
      <c r="C691" s="292" t="s">
        <v>4114</v>
      </c>
      <c r="D691" s="293">
        <v>9.74</v>
      </c>
      <c r="E691" s="293">
        <v>1.9</v>
      </c>
      <c r="F691" s="288" t="s">
        <v>2411</v>
      </c>
      <c r="G691" s="288"/>
      <c r="H691" s="296"/>
      <c r="I691" s="293"/>
      <c r="J691" s="293"/>
      <c r="K691" s="293"/>
    </row>
    <row r="692" spans="1:11">
      <c r="A692" s="287"/>
      <c r="B692" s="288" t="s">
        <v>2958</v>
      </c>
      <c r="C692" s="292" t="s">
        <v>1661</v>
      </c>
      <c r="D692" s="293">
        <v>9.99</v>
      </c>
      <c r="E692" s="293">
        <v>1.3</v>
      </c>
      <c r="F692" s="293" t="s">
        <v>2404</v>
      </c>
      <c r="G692" s="288"/>
      <c r="H692" s="296"/>
      <c r="I692" s="293"/>
      <c r="J692" s="293"/>
      <c r="K692" s="293"/>
    </row>
    <row r="693" spans="1:11">
      <c r="A693" s="287"/>
      <c r="B693" s="288" t="s">
        <v>2958</v>
      </c>
      <c r="C693" s="292" t="s">
        <v>1660</v>
      </c>
      <c r="D693" s="293">
        <v>9.99</v>
      </c>
      <c r="E693" s="293">
        <v>1.7</v>
      </c>
      <c r="F693" s="293" t="s">
        <v>2404</v>
      </c>
      <c r="G693" s="288"/>
      <c r="H693" s="296"/>
      <c r="I693" s="293"/>
      <c r="J693" s="293"/>
      <c r="K693" s="293"/>
    </row>
    <row r="694" spans="1:11">
      <c r="A694" s="287"/>
      <c r="B694" s="288" t="s">
        <v>2958</v>
      </c>
      <c r="C694" s="292" t="s">
        <v>1663</v>
      </c>
      <c r="D694" s="293">
        <v>10.43</v>
      </c>
      <c r="E694" s="293">
        <v>1.45</v>
      </c>
      <c r="F694" s="288" t="s">
        <v>2410</v>
      </c>
      <c r="G694" s="288"/>
      <c r="H694" s="296"/>
      <c r="I694" s="288"/>
      <c r="J694" s="288"/>
      <c r="K694" s="288"/>
    </row>
    <row r="695" spans="1:11">
      <c r="A695" s="287"/>
      <c r="B695" s="288" t="s">
        <v>2958</v>
      </c>
      <c r="C695" s="292" t="s">
        <v>1662</v>
      </c>
      <c r="D695" s="293">
        <v>10.43</v>
      </c>
      <c r="E695" s="293">
        <v>1.85</v>
      </c>
      <c r="F695" s="293" t="s">
        <v>2410</v>
      </c>
      <c r="G695" s="288"/>
      <c r="H695" s="296"/>
      <c r="I695" s="293"/>
      <c r="J695" s="293"/>
      <c r="K695" s="293"/>
    </row>
    <row r="696" spans="1:11">
      <c r="A696" s="287"/>
      <c r="B696" s="288" t="s">
        <v>2958</v>
      </c>
      <c r="C696" s="292" t="s">
        <v>4116</v>
      </c>
      <c r="D696" s="293">
        <v>11</v>
      </c>
      <c r="E696" s="293">
        <v>1.9</v>
      </c>
      <c r="F696" s="293" t="s">
        <v>2405</v>
      </c>
      <c r="G696" s="293"/>
      <c r="H696" s="296"/>
      <c r="I696" s="293"/>
      <c r="J696" s="293"/>
      <c r="K696" s="293"/>
    </row>
    <row r="697" spans="1:11">
      <c r="A697" s="287"/>
      <c r="B697" s="288" t="s">
        <v>2958</v>
      </c>
      <c r="C697" s="292" t="s">
        <v>4117</v>
      </c>
      <c r="D697" s="293">
        <v>10.65</v>
      </c>
      <c r="E697" s="293">
        <v>1.9</v>
      </c>
      <c r="F697" s="293" t="s">
        <v>2404</v>
      </c>
      <c r="G697" s="293"/>
      <c r="H697" s="296"/>
      <c r="I697" s="288"/>
      <c r="J697" s="288"/>
      <c r="K697" s="288"/>
    </row>
    <row r="698" spans="1:11">
      <c r="A698" s="287"/>
      <c r="B698" s="288" t="s">
        <v>2958</v>
      </c>
      <c r="C698" s="292" t="s">
        <v>1664</v>
      </c>
      <c r="D698" s="293">
        <v>10.69</v>
      </c>
      <c r="E698" s="293">
        <v>1.94</v>
      </c>
      <c r="F698" s="288" t="s">
        <v>2427</v>
      </c>
      <c r="G698" s="293"/>
      <c r="I698" s="293"/>
      <c r="J698" s="293"/>
      <c r="K698" s="293"/>
    </row>
    <row r="699" spans="1:11">
      <c r="A699" s="287"/>
      <c r="B699" s="288" t="s">
        <v>2958</v>
      </c>
      <c r="C699" s="292" t="s">
        <v>1665</v>
      </c>
      <c r="D699" s="293">
        <v>10.69</v>
      </c>
      <c r="E699" s="293">
        <v>2.1</v>
      </c>
      <c r="F699" s="288" t="s">
        <v>2427</v>
      </c>
      <c r="G699" s="293"/>
      <c r="H699" s="296"/>
      <c r="I699" s="288"/>
      <c r="J699" s="288"/>
      <c r="K699" s="288"/>
    </row>
    <row r="700" spans="1:11">
      <c r="A700" s="287"/>
      <c r="B700" s="288" t="s">
        <v>2958</v>
      </c>
      <c r="C700" s="292" t="s">
        <v>1667</v>
      </c>
      <c r="D700" s="293">
        <v>10.95</v>
      </c>
      <c r="E700" s="293">
        <v>1.45</v>
      </c>
      <c r="F700" s="293" t="s">
        <v>364</v>
      </c>
      <c r="G700" s="293"/>
      <c r="H700" s="296"/>
      <c r="I700" s="288"/>
      <c r="J700" s="288"/>
      <c r="K700" s="288"/>
    </row>
    <row r="701" spans="1:11">
      <c r="A701" s="287"/>
      <c r="B701" s="288" t="s">
        <v>2958</v>
      </c>
      <c r="C701" s="292" t="s">
        <v>1666</v>
      </c>
      <c r="D701" s="293">
        <v>10.95</v>
      </c>
      <c r="E701" s="293">
        <v>1.95</v>
      </c>
      <c r="F701" s="293" t="s">
        <v>364</v>
      </c>
      <c r="G701" s="293"/>
      <c r="I701" s="288"/>
      <c r="J701" s="288"/>
      <c r="K701" s="288"/>
    </row>
    <row r="702" spans="1:11">
      <c r="A702" s="287"/>
      <c r="B702" s="288" t="s">
        <v>2958</v>
      </c>
      <c r="C702" s="292" t="s">
        <v>485</v>
      </c>
      <c r="D702" s="288" t="s">
        <v>1318</v>
      </c>
      <c r="E702" s="288" t="s">
        <v>2058</v>
      </c>
      <c r="F702" s="288" t="s">
        <v>339</v>
      </c>
      <c r="G702" s="293"/>
      <c r="H702" s="296"/>
      <c r="I702" s="288"/>
      <c r="J702" s="288"/>
      <c r="K702" s="288"/>
    </row>
    <row r="703" spans="1:11">
      <c r="A703" s="287"/>
      <c r="B703" s="288" t="s">
        <v>2958</v>
      </c>
      <c r="C703" s="292" t="s">
        <v>4811</v>
      </c>
      <c r="D703" s="288" t="s">
        <v>2121</v>
      </c>
      <c r="E703" s="288" t="s">
        <v>448</v>
      </c>
      <c r="F703" s="288" t="s">
        <v>2143</v>
      </c>
      <c r="G703" s="293"/>
      <c r="I703" s="288"/>
      <c r="J703" s="288"/>
      <c r="K703" s="288"/>
    </row>
    <row r="704" spans="1:11">
      <c r="A704" s="287"/>
      <c r="B704" s="288" t="s">
        <v>2958</v>
      </c>
      <c r="C704" s="292" t="s">
        <v>4118</v>
      </c>
      <c r="D704" s="293">
        <v>11.62</v>
      </c>
      <c r="E704" s="293">
        <v>2.2000000000000002</v>
      </c>
      <c r="F704" s="288" t="s">
        <v>2427</v>
      </c>
      <c r="G704" s="293"/>
      <c r="I704" s="288"/>
      <c r="J704" s="288"/>
      <c r="K704" s="288"/>
    </row>
    <row r="705" spans="1:11">
      <c r="A705" s="287"/>
      <c r="B705" s="288" t="s">
        <v>2958</v>
      </c>
      <c r="C705" s="292" t="s">
        <v>4119</v>
      </c>
      <c r="D705" s="293">
        <v>11.75</v>
      </c>
      <c r="E705" s="293">
        <v>1.95</v>
      </c>
      <c r="F705" s="293" t="s">
        <v>2409</v>
      </c>
      <c r="G705" s="293"/>
      <c r="I705" s="293"/>
      <c r="J705" s="293"/>
      <c r="K705" s="293"/>
    </row>
    <row r="706" spans="1:11">
      <c r="A706" s="287"/>
      <c r="B706" s="288" t="s">
        <v>2958</v>
      </c>
      <c r="C706" s="292" t="s">
        <v>1669</v>
      </c>
      <c r="D706" s="293">
        <v>11.75</v>
      </c>
      <c r="E706" s="293">
        <v>1.5</v>
      </c>
      <c r="F706" s="293" t="s">
        <v>344</v>
      </c>
      <c r="G706" s="288"/>
      <c r="I706" s="288"/>
      <c r="J706" s="288"/>
      <c r="K706" s="288"/>
    </row>
    <row r="707" spans="1:11">
      <c r="A707" s="287"/>
      <c r="B707" s="288" t="s">
        <v>2958</v>
      </c>
      <c r="C707" s="292" t="s">
        <v>1668</v>
      </c>
      <c r="D707" s="293">
        <v>11.75</v>
      </c>
      <c r="E707" s="293">
        <v>1.95</v>
      </c>
      <c r="F707" s="293" t="s">
        <v>344</v>
      </c>
      <c r="G707" s="293"/>
      <c r="I707" s="288"/>
      <c r="J707" s="288"/>
      <c r="K707" s="288"/>
    </row>
    <row r="708" spans="1:11">
      <c r="A708" s="287"/>
      <c r="B708" s="288" t="s">
        <v>2958</v>
      </c>
      <c r="C708" s="292" t="s">
        <v>4120</v>
      </c>
      <c r="D708" s="293">
        <v>11.99</v>
      </c>
      <c r="E708" s="293">
        <v>2.1</v>
      </c>
      <c r="F708" s="288" t="s">
        <v>337</v>
      </c>
      <c r="G708" s="293"/>
      <c r="I708" s="293"/>
      <c r="J708" s="293"/>
      <c r="K708" s="293"/>
    </row>
    <row r="709" spans="1:11">
      <c r="A709" s="287"/>
      <c r="B709" s="288" t="s">
        <v>2958</v>
      </c>
      <c r="C709" s="292" t="s">
        <v>4121</v>
      </c>
      <c r="D709" s="293">
        <v>11.99</v>
      </c>
      <c r="E709" s="293">
        <v>1.65</v>
      </c>
      <c r="F709" s="293" t="s">
        <v>352</v>
      </c>
      <c r="G709" s="288"/>
      <c r="H709" s="296"/>
      <c r="I709" s="293"/>
      <c r="J709" s="293"/>
      <c r="K709" s="293"/>
    </row>
    <row r="710" spans="1:11">
      <c r="A710" s="287"/>
      <c r="B710" s="288" t="s">
        <v>2958</v>
      </c>
      <c r="C710" s="292" t="s">
        <v>4122</v>
      </c>
      <c r="D710" s="293">
        <v>12.3</v>
      </c>
      <c r="E710" s="293">
        <v>2.1</v>
      </c>
      <c r="F710" s="293" t="s">
        <v>342</v>
      </c>
      <c r="G710" s="293"/>
      <c r="I710" s="288"/>
      <c r="J710" s="288"/>
      <c r="K710" s="288"/>
    </row>
    <row r="711" spans="1:11">
      <c r="A711" s="287"/>
      <c r="B711" s="288" t="s">
        <v>2958</v>
      </c>
      <c r="C711" s="292" t="s">
        <v>1670</v>
      </c>
      <c r="D711" s="293">
        <v>12.59</v>
      </c>
      <c r="E711" s="293">
        <v>1.9</v>
      </c>
      <c r="F711" s="288" t="s">
        <v>2413</v>
      </c>
      <c r="G711" s="288"/>
      <c r="I711" s="288"/>
      <c r="J711" s="288"/>
      <c r="K711" s="288"/>
    </row>
    <row r="712" spans="1:11">
      <c r="A712" s="287"/>
      <c r="B712" s="288" t="s">
        <v>2958</v>
      </c>
      <c r="C712" s="292" t="s">
        <v>1671</v>
      </c>
      <c r="D712" s="293">
        <v>12.59</v>
      </c>
      <c r="E712" s="293">
        <v>2.13</v>
      </c>
      <c r="F712" s="288" t="s">
        <v>2413</v>
      </c>
      <c r="G712" s="288"/>
      <c r="H712" s="296"/>
      <c r="I712" s="288"/>
      <c r="J712" s="288"/>
      <c r="K712" s="288"/>
    </row>
    <row r="713" spans="1:11">
      <c r="A713" s="287"/>
      <c r="B713" s="288" t="s">
        <v>2958</v>
      </c>
      <c r="C713" s="292" t="s">
        <v>1672</v>
      </c>
      <c r="D713" s="293">
        <v>12.59</v>
      </c>
      <c r="E713" s="293">
        <v>2.2999999999999998</v>
      </c>
      <c r="F713" s="288" t="s">
        <v>2413</v>
      </c>
      <c r="G713" s="288"/>
      <c r="H713" s="296"/>
      <c r="I713" s="288"/>
      <c r="J713" s="288"/>
      <c r="K713" s="288"/>
    </row>
    <row r="714" spans="1:11">
      <c r="A714" s="287"/>
      <c r="B714" s="288" t="s">
        <v>2958</v>
      </c>
      <c r="C714" s="292" t="s">
        <v>4123</v>
      </c>
      <c r="D714" s="293">
        <v>12.84</v>
      </c>
      <c r="E714" s="293">
        <v>2</v>
      </c>
      <c r="F714" s="293" t="s">
        <v>366</v>
      </c>
      <c r="G714" s="288"/>
      <c r="I714" s="288"/>
      <c r="J714" s="288"/>
      <c r="K714" s="288"/>
    </row>
    <row r="715" spans="1:11">
      <c r="A715" s="287"/>
      <c r="B715" s="288" t="s">
        <v>2958</v>
      </c>
      <c r="C715" s="292" t="s">
        <v>4124</v>
      </c>
      <c r="D715" s="293">
        <v>12.84</v>
      </c>
      <c r="E715" s="293">
        <v>2</v>
      </c>
      <c r="F715" s="288" t="s">
        <v>366</v>
      </c>
      <c r="G715" s="288"/>
      <c r="I715" s="288"/>
      <c r="J715" s="288"/>
      <c r="K715" s="288"/>
    </row>
    <row r="716" spans="1:11">
      <c r="A716" s="287"/>
      <c r="B716" s="288" t="s">
        <v>2958</v>
      </c>
      <c r="C716" s="292" t="s">
        <v>4125</v>
      </c>
      <c r="D716" s="293">
        <v>12.84</v>
      </c>
      <c r="E716" s="293">
        <v>2</v>
      </c>
      <c r="F716" s="293" t="s">
        <v>366</v>
      </c>
      <c r="G716" s="288"/>
      <c r="I716" s="288"/>
      <c r="J716" s="288"/>
      <c r="K716" s="288"/>
    </row>
    <row r="717" spans="1:11">
      <c r="A717" s="287"/>
      <c r="B717" s="288" t="s">
        <v>2958</v>
      </c>
      <c r="C717" s="292" t="s">
        <v>1673</v>
      </c>
      <c r="D717" s="293">
        <v>13.41</v>
      </c>
      <c r="E717" s="293">
        <v>2.0499999999999998</v>
      </c>
      <c r="F717" s="288" t="s">
        <v>334</v>
      </c>
      <c r="G717" s="293"/>
      <c r="I717" s="293"/>
      <c r="J717" s="293"/>
      <c r="K717" s="293"/>
    </row>
    <row r="718" spans="1:11">
      <c r="A718" s="287"/>
      <c r="B718" s="288" t="s">
        <v>2958</v>
      </c>
      <c r="C718" s="292" t="s">
        <v>1674</v>
      </c>
      <c r="D718" s="293">
        <v>13.41</v>
      </c>
      <c r="E718" s="293">
        <v>2.2999999999999998</v>
      </c>
      <c r="F718" s="288" t="s">
        <v>334</v>
      </c>
      <c r="G718" s="288"/>
      <c r="I718" s="288"/>
      <c r="J718" s="288"/>
      <c r="K718" s="288"/>
    </row>
    <row r="719" spans="1:11">
      <c r="A719" s="287"/>
      <c r="B719" s="288" t="s">
        <v>2958</v>
      </c>
      <c r="C719" s="292" t="s">
        <v>1676</v>
      </c>
      <c r="D719" s="288" t="s">
        <v>1301</v>
      </c>
      <c r="E719" s="293">
        <v>1.6</v>
      </c>
      <c r="F719" s="293" t="s">
        <v>2404</v>
      </c>
      <c r="G719" s="288"/>
      <c r="I719" s="288"/>
      <c r="J719" s="288"/>
      <c r="K719" s="288"/>
    </row>
    <row r="720" spans="1:11">
      <c r="A720" s="287"/>
      <c r="B720" s="288" t="s">
        <v>2958</v>
      </c>
      <c r="C720" s="292" t="s">
        <v>1675</v>
      </c>
      <c r="D720" s="288" t="s">
        <v>1301</v>
      </c>
      <c r="E720" s="293">
        <v>2</v>
      </c>
      <c r="F720" s="293" t="s">
        <v>2404</v>
      </c>
      <c r="G720" s="293"/>
      <c r="I720" s="288"/>
      <c r="J720" s="288"/>
      <c r="K720" s="288"/>
    </row>
    <row r="721" spans="1:11">
      <c r="A721" s="287"/>
      <c r="B721" s="288" t="s">
        <v>2958</v>
      </c>
      <c r="C721" s="292" t="s">
        <v>4126</v>
      </c>
      <c r="D721" s="288" t="s">
        <v>1302</v>
      </c>
      <c r="E721" s="293">
        <v>2.0499999999999998</v>
      </c>
      <c r="F721" s="288" t="s">
        <v>334</v>
      </c>
      <c r="G721" s="293"/>
      <c r="H721" s="296"/>
      <c r="I721" s="293"/>
      <c r="J721" s="293"/>
      <c r="K721" s="293"/>
    </row>
    <row r="722" spans="1:11">
      <c r="A722" s="287"/>
      <c r="B722" s="288" t="s">
        <v>2958</v>
      </c>
      <c r="C722" s="292" t="s">
        <v>4127</v>
      </c>
      <c r="D722" s="293">
        <v>14</v>
      </c>
      <c r="E722" s="293">
        <v>2.1</v>
      </c>
      <c r="F722" s="293" t="s">
        <v>2442</v>
      </c>
      <c r="G722" s="288"/>
      <c r="I722" s="293"/>
      <c r="J722" s="293"/>
      <c r="K722" s="293"/>
    </row>
    <row r="723" spans="1:11">
      <c r="A723" s="287"/>
      <c r="B723" s="288" t="s">
        <v>2958</v>
      </c>
      <c r="C723" s="292" t="s">
        <v>4812</v>
      </c>
      <c r="D723" s="288" t="s">
        <v>4813</v>
      </c>
      <c r="E723" s="288" t="s">
        <v>4814</v>
      </c>
      <c r="F723" s="288" t="s">
        <v>2143</v>
      </c>
      <c r="G723" s="288"/>
      <c r="I723" s="293"/>
      <c r="J723" s="293"/>
      <c r="K723" s="293"/>
    </row>
    <row r="724" spans="1:11">
      <c r="A724" s="287"/>
      <c r="B724" s="288" t="s">
        <v>2958</v>
      </c>
      <c r="C724" s="292" t="s">
        <v>1677</v>
      </c>
      <c r="D724" s="293">
        <v>14.73</v>
      </c>
      <c r="E724" s="293">
        <v>2.15</v>
      </c>
      <c r="F724" s="293" t="s">
        <v>344</v>
      </c>
      <c r="G724" s="288"/>
      <c r="I724" s="288"/>
      <c r="J724" s="288"/>
      <c r="K724" s="288"/>
    </row>
    <row r="725" spans="1:11">
      <c r="A725" s="287"/>
      <c r="B725" s="288" t="s">
        <v>2958</v>
      </c>
      <c r="C725" s="292" t="s">
        <v>1678</v>
      </c>
      <c r="D725" s="293">
        <v>14.73</v>
      </c>
      <c r="E725" s="293">
        <v>2.35</v>
      </c>
      <c r="F725" s="288" t="s">
        <v>344</v>
      </c>
      <c r="G725" s="288"/>
      <c r="H725" s="296"/>
      <c r="I725" s="288"/>
      <c r="J725" s="288"/>
      <c r="K725" s="288"/>
    </row>
    <row r="726" spans="1:11">
      <c r="A726" s="287"/>
      <c r="B726" s="288" t="s">
        <v>2958</v>
      </c>
      <c r="C726" s="292" t="s">
        <v>4128</v>
      </c>
      <c r="D726" s="293">
        <v>14.73</v>
      </c>
      <c r="E726" s="293">
        <v>2.15</v>
      </c>
      <c r="F726" s="288" t="s">
        <v>344</v>
      </c>
      <c r="G726" s="288"/>
      <c r="H726" s="296"/>
      <c r="I726" s="288"/>
      <c r="J726" s="288"/>
      <c r="K726" s="288"/>
    </row>
    <row r="727" spans="1:11">
      <c r="A727" s="287"/>
      <c r="B727" s="288" t="s">
        <v>2958</v>
      </c>
      <c r="C727" s="292" t="s">
        <v>4129</v>
      </c>
      <c r="D727" s="293">
        <v>14.75</v>
      </c>
      <c r="E727" s="293">
        <v>2.15</v>
      </c>
      <c r="F727" s="288" t="s">
        <v>334</v>
      </c>
      <c r="G727" s="288"/>
      <c r="H727" s="296"/>
      <c r="I727" s="288"/>
      <c r="J727" s="288"/>
      <c r="K727" s="288"/>
    </row>
    <row r="728" spans="1:11">
      <c r="A728" s="287"/>
      <c r="B728" s="288" t="s">
        <v>2958</v>
      </c>
      <c r="C728" s="292" t="s">
        <v>4130</v>
      </c>
      <c r="D728" s="293">
        <v>14.94</v>
      </c>
      <c r="E728" s="293">
        <v>1.8</v>
      </c>
      <c r="F728" s="293" t="s">
        <v>2406</v>
      </c>
      <c r="G728" s="288"/>
      <c r="I728" s="293"/>
      <c r="J728" s="293"/>
      <c r="K728" s="293"/>
    </row>
    <row r="729" spans="1:11">
      <c r="A729" s="287"/>
      <c r="B729" s="288" t="s">
        <v>2958</v>
      </c>
      <c r="C729" s="292" t="s">
        <v>4131</v>
      </c>
      <c r="D729" s="293">
        <v>15.73</v>
      </c>
      <c r="E729" s="293">
        <v>2.2999999999999998</v>
      </c>
      <c r="F729" s="288" t="s">
        <v>337</v>
      </c>
      <c r="G729" s="293"/>
      <c r="I729" s="293"/>
      <c r="J729" s="293"/>
      <c r="K729" s="293"/>
    </row>
    <row r="730" spans="1:11">
      <c r="A730" s="287"/>
      <c r="B730" s="288" t="s">
        <v>2958</v>
      </c>
      <c r="C730" s="292" t="s">
        <v>4132</v>
      </c>
      <c r="D730" s="293">
        <v>16.38</v>
      </c>
      <c r="E730" s="293">
        <v>2.2999999999999998</v>
      </c>
      <c r="F730" s="293" t="s">
        <v>2410</v>
      </c>
      <c r="G730" s="288"/>
      <c r="I730" s="293"/>
      <c r="J730" s="293"/>
      <c r="K730" s="293"/>
    </row>
    <row r="731" spans="1:11">
      <c r="A731" s="287"/>
      <c r="B731" s="288" t="s">
        <v>2958</v>
      </c>
      <c r="C731" s="292" t="s">
        <v>4133</v>
      </c>
      <c r="D731" s="288" t="s">
        <v>1303</v>
      </c>
      <c r="E731" s="293">
        <v>1.8</v>
      </c>
      <c r="F731" s="293" t="s">
        <v>328</v>
      </c>
      <c r="G731" s="288"/>
      <c r="I731" s="293"/>
      <c r="J731" s="293"/>
      <c r="K731" s="288"/>
    </row>
    <row r="732" spans="1:11">
      <c r="A732" s="287"/>
      <c r="B732" s="288" t="s">
        <v>2958</v>
      </c>
      <c r="C732" s="292" t="s">
        <v>4134</v>
      </c>
      <c r="D732" s="288" t="s">
        <v>1304</v>
      </c>
      <c r="E732" s="293">
        <v>1.95</v>
      </c>
      <c r="F732" s="293" t="s">
        <v>3616</v>
      </c>
      <c r="G732" s="288"/>
      <c r="H732" s="296"/>
      <c r="I732" s="288"/>
      <c r="J732" s="288"/>
      <c r="K732" s="288"/>
    </row>
    <row r="733" spans="1:11">
      <c r="A733" s="287"/>
      <c r="B733" s="288" t="s">
        <v>2958</v>
      </c>
      <c r="C733" s="292" t="s">
        <v>4135</v>
      </c>
      <c r="D733" s="293">
        <v>11.23</v>
      </c>
      <c r="E733" s="293">
        <v>1.9</v>
      </c>
      <c r="F733" s="293" t="s">
        <v>3616</v>
      </c>
      <c r="G733" s="293"/>
      <c r="H733" s="296"/>
      <c r="I733" s="288"/>
      <c r="J733" s="288"/>
      <c r="K733" s="288"/>
    </row>
    <row r="734" spans="1:11">
      <c r="A734" s="287" t="s">
        <v>2407</v>
      </c>
      <c r="B734" s="288" t="s">
        <v>2958</v>
      </c>
      <c r="C734" s="292" t="s">
        <v>4136</v>
      </c>
      <c r="D734" s="293">
        <v>11.49</v>
      </c>
      <c r="E734" s="293">
        <v>2</v>
      </c>
      <c r="F734" s="293" t="s">
        <v>328</v>
      </c>
      <c r="G734" s="293"/>
      <c r="H734" s="296"/>
      <c r="I734" s="293"/>
      <c r="J734" s="293"/>
      <c r="K734" s="293"/>
    </row>
    <row r="735" spans="1:11">
      <c r="A735" s="287"/>
      <c r="B735" s="288" t="s">
        <v>2958</v>
      </c>
      <c r="C735" s="292" t="s">
        <v>1026</v>
      </c>
      <c r="D735" s="293">
        <v>9.5</v>
      </c>
      <c r="E735" s="293">
        <v>1.85</v>
      </c>
      <c r="F735" s="293" t="s">
        <v>2437</v>
      </c>
      <c r="G735" s="293"/>
      <c r="H735" s="296"/>
      <c r="I735" s="288"/>
      <c r="J735" s="288"/>
      <c r="K735" s="288"/>
    </row>
    <row r="736" spans="1:11">
      <c r="A736" s="287"/>
      <c r="B736" s="288" t="s">
        <v>2958</v>
      </c>
      <c r="C736" s="292" t="s">
        <v>60</v>
      </c>
      <c r="D736" s="288" t="s">
        <v>1323</v>
      </c>
      <c r="E736" s="293">
        <v>1.5</v>
      </c>
      <c r="F736" s="293" t="s">
        <v>2431</v>
      </c>
      <c r="G736" s="293"/>
      <c r="I736" s="293"/>
      <c r="J736" s="293"/>
      <c r="K736" s="293"/>
    </row>
    <row r="737" spans="1:140">
      <c r="A737" s="287"/>
      <c r="B737" s="288" t="s">
        <v>2959</v>
      </c>
      <c r="C737" s="292" t="s">
        <v>4343</v>
      </c>
      <c r="D737" s="293">
        <v>9.99</v>
      </c>
      <c r="E737" s="293">
        <v>1.98</v>
      </c>
      <c r="F737" s="288" t="s">
        <v>337</v>
      </c>
      <c r="G737" s="288"/>
      <c r="I737" s="288"/>
      <c r="J737" s="288"/>
      <c r="K737" s="288"/>
      <c r="CW737" s="297"/>
    </row>
    <row r="738" spans="1:140">
      <c r="A738" s="287"/>
      <c r="B738" s="288" t="s">
        <v>2959</v>
      </c>
      <c r="C738" s="292" t="s">
        <v>4344</v>
      </c>
      <c r="D738" s="293">
        <v>9.99</v>
      </c>
      <c r="E738" s="293">
        <v>1.98</v>
      </c>
      <c r="F738" s="288" t="s">
        <v>337</v>
      </c>
      <c r="G738" s="288"/>
      <c r="H738" s="296"/>
      <c r="I738" s="293"/>
      <c r="J738" s="293"/>
      <c r="K738" s="293"/>
      <c r="M738" s="297"/>
      <c r="AE738" s="297"/>
      <c r="BY738" s="297"/>
    </row>
    <row r="739" spans="1:140" s="297" customFormat="1">
      <c r="A739" s="287"/>
      <c r="B739" s="288" t="s">
        <v>2959</v>
      </c>
      <c r="C739" s="292" t="s">
        <v>595</v>
      </c>
      <c r="D739" s="288" t="s">
        <v>596</v>
      </c>
      <c r="E739" s="288" t="s">
        <v>471</v>
      </c>
      <c r="F739" s="288" t="s">
        <v>585</v>
      </c>
      <c r="G739" s="288"/>
      <c r="H739" s="291"/>
      <c r="I739" s="299"/>
      <c r="J739" s="299"/>
      <c r="K739" s="299"/>
      <c r="M739" s="292"/>
      <c r="N739" s="292"/>
      <c r="Q739" s="292"/>
      <c r="R739" s="292"/>
      <c r="U739" s="292"/>
      <c r="W739" s="292"/>
      <c r="AE739" s="292"/>
      <c r="AM739" s="292"/>
      <c r="AN739" s="292"/>
      <c r="AO739" s="292"/>
      <c r="AT739" s="292"/>
      <c r="AZ739" s="292"/>
      <c r="BB739" s="292"/>
      <c r="BF739" s="292"/>
      <c r="BH739" s="292"/>
      <c r="BI739" s="292"/>
      <c r="BY739" s="292"/>
      <c r="CL739" s="292"/>
      <c r="CW739" s="292"/>
      <c r="DN739" s="292"/>
      <c r="DT739" s="292"/>
      <c r="EG739" s="292"/>
      <c r="EJ739" s="292"/>
    </row>
    <row r="740" spans="1:140">
      <c r="A740" s="287" t="s">
        <v>2407</v>
      </c>
      <c r="B740" s="288" t="s">
        <v>2959</v>
      </c>
      <c r="C740" s="292" t="s">
        <v>4341</v>
      </c>
      <c r="D740" s="293">
        <v>9.6</v>
      </c>
      <c r="E740" s="293">
        <v>1.95</v>
      </c>
      <c r="F740" s="288" t="s">
        <v>2410</v>
      </c>
      <c r="G740" s="288"/>
      <c r="H740" s="296"/>
      <c r="I740" s="288"/>
      <c r="J740" s="288"/>
      <c r="K740" s="288"/>
      <c r="W740" s="297"/>
      <c r="AM740" s="297"/>
      <c r="AT740" s="297"/>
      <c r="BI740" s="297"/>
      <c r="CL740" s="297"/>
      <c r="DN740" s="297"/>
    </row>
    <row r="741" spans="1:140">
      <c r="A741" s="287"/>
      <c r="B741" s="288" t="s">
        <v>2959</v>
      </c>
      <c r="C741" s="292" t="s">
        <v>4342</v>
      </c>
      <c r="D741" s="293">
        <v>9.98</v>
      </c>
      <c r="E741" s="293">
        <v>2.1</v>
      </c>
      <c r="F741" s="288" t="s">
        <v>334</v>
      </c>
      <c r="G741" s="293"/>
      <c r="I741" s="293"/>
      <c r="J741" s="293"/>
      <c r="K741" s="293"/>
      <c r="N741" s="297"/>
      <c r="U741" s="297"/>
      <c r="AO741" s="297"/>
      <c r="BB741" s="297"/>
      <c r="DT741" s="297"/>
      <c r="EG741" s="297"/>
    </row>
    <row r="742" spans="1:140">
      <c r="A742" s="287" t="s">
        <v>2407</v>
      </c>
      <c r="B742" s="288" t="s">
        <v>2960</v>
      </c>
      <c r="C742" s="292" t="s">
        <v>4346</v>
      </c>
      <c r="D742" s="288" t="s">
        <v>1259</v>
      </c>
      <c r="E742" s="293">
        <v>1.98</v>
      </c>
      <c r="F742" s="288" t="s">
        <v>342</v>
      </c>
      <c r="G742" s="293"/>
      <c r="H742" s="296"/>
      <c r="I742" s="293"/>
      <c r="J742" s="293"/>
      <c r="K742" s="293"/>
      <c r="AN742" s="297"/>
      <c r="BF742" s="297"/>
    </row>
    <row r="743" spans="1:140">
      <c r="A743" s="287"/>
      <c r="B743" s="288" t="s">
        <v>2960</v>
      </c>
      <c r="C743" s="292" t="s">
        <v>4347</v>
      </c>
      <c r="D743" s="293">
        <v>9.59</v>
      </c>
      <c r="E743" s="293">
        <v>1.98</v>
      </c>
      <c r="F743" s="288" t="s">
        <v>342</v>
      </c>
      <c r="G743" s="293"/>
      <c r="H743" s="301"/>
      <c r="I743" s="288"/>
      <c r="J743" s="288"/>
      <c r="K743" s="288"/>
      <c r="Q743" s="297"/>
      <c r="R743" s="297"/>
    </row>
    <row r="744" spans="1:140">
      <c r="A744" s="287"/>
      <c r="B744" s="288" t="s">
        <v>2960</v>
      </c>
      <c r="C744" s="292" t="s">
        <v>4348</v>
      </c>
      <c r="D744" s="293">
        <v>9.59</v>
      </c>
      <c r="E744" s="293">
        <v>1.98</v>
      </c>
      <c r="F744" s="288" t="s">
        <v>342</v>
      </c>
      <c r="G744" s="293"/>
      <c r="I744" s="288"/>
      <c r="J744" s="288"/>
      <c r="K744" s="288"/>
    </row>
    <row r="745" spans="1:140">
      <c r="A745" s="287"/>
      <c r="B745" s="288" t="s">
        <v>2961</v>
      </c>
      <c r="C745" s="292" t="s">
        <v>804</v>
      </c>
      <c r="D745" s="293">
        <v>11.43</v>
      </c>
      <c r="E745" s="293">
        <v>2.37</v>
      </c>
      <c r="F745" s="293" t="s">
        <v>2424</v>
      </c>
      <c r="G745" s="288"/>
      <c r="H745" s="296"/>
      <c r="I745" s="288"/>
      <c r="J745" s="288"/>
      <c r="K745" s="288"/>
      <c r="BH745" s="297"/>
    </row>
    <row r="746" spans="1:140">
      <c r="A746" s="287"/>
      <c r="B746" s="288" t="s">
        <v>2961</v>
      </c>
      <c r="C746" s="292" t="s">
        <v>3457</v>
      </c>
      <c r="D746" s="293">
        <v>11.82</v>
      </c>
      <c r="E746" s="293">
        <v>2.6</v>
      </c>
      <c r="F746" s="288" t="s">
        <v>334</v>
      </c>
      <c r="G746" s="288"/>
      <c r="H746" s="296"/>
      <c r="I746" s="288"/>
      <c r="J746" s="288"/>
      <c r="K746" s="288"/>
    </row>
    <row r="747" spans="1:140">
      <c r="A747" s="287"/>
      <c r="B747" s="288" t="s">
        <v>2961</v>
      </c>
      <c r="C747" s="292" t="s">
        <v>3458</v>
      </c>
      <c r="D747" s="293">
        <v>12.15</v>
      </c>
      <c r="E747" s="293">
        <v>2.6</v>
      </c>
      <c r="F747" s="288" t="s">
        <v>339</v>
      </c>
      <c r="G747" s="293"/>
      <c r="I747" s="293"/>
      <c r="J747" s="293"/>
      <c r="K747" s="293"/>
    </row>
    <row r="748" spans="1:140">
      <c r="A748" s="287"/>
      <c r="B748" s="288" t="s">
        <v>3541</v>
      </c>
      <c r="C748" s="292" t="s">
        <v>3464</v>
      </c>
      <c r="D748" s="293">
        <v>8.6199999999999992</v>
      </c>
      <c r="E748" s="293">
        <v>1.52</v>
      </c>
      <c r="F748" s="293" t="s">
        <v>3616</v>
      </c>
      <c r="G748" s="288"/>
      <c r="I748" s="293"/>
      <c r="J748" s="293"/>
      <c r="K748" s="293"/>
    </row>
    <row r="749" spans="1:140">
      <c r="A749" s="287"/>
      <c r="B749" s="288" t="s">
        <v>3541</v>
      </c>
      <c r="C749" s="292" t="s">
        <v>3465</v>
      </c>
      <c r="D749" s="293">
        <v>8.66</v>
      </c>
      <c r="E749" s="293">
        <v>0.97</v>
      </c>
      <c r="F749" s="293" t="s">
        <v>3616</v>
      </c>
      <c r="G749" s="293"/>
      <c r="I749" s="288"/>
      <c r="J749" s="288"/>
      <c r="K749" s="288"/>
    </row>
    <row r="750" spans="1:140">
      <c r="A750" s="287"/>
      <c r="B750" s="288" t="s">
        <v>3541</v>
      </c>
      <c r="C750" s="292" t="s">
        <v>805</v>
      </c>
      <c r="D750" s="293">
        <v>6.15</v>
      </c>
      <c r="E750" s="293">
        <v>1.5</v>
      </c>
      <c r="F750" s="293" t="s">
        <v>2424</v>
      </c>
      <c r="G750" s="288"/>
      <c r="I750" s="293"/>
      <c r="J750" s="293"/>
      <c r="K750" s="293"/>
    </row>
    <row r="751" spans="1:140">
      <c r="A751" s="287"/>
      <c r="B751" s="288" t="s">
        <v>3541</v>
      </c>
      <c r="C751" s="292" t="s">
        <v>3466</v>
      </c>
      <c r="D751" s="293">
        <v>8.6199999999999992</v>
      </c>
      <c r="E751" s="293">
        <v>1.52</v>
      </c>
      <c r="F751" s="293" t="s">
        <v>3616</v>
      </c>
      <c r="G751" s="293"/>
      <c r="H751" s="296"/>
      <c r="I751" s="293"/>
      <c r="J751" s="293"/>
      <c r="K751" s="293"/>
      <c r="AZ751" s="297"/>
    </row>
    <row r="752" spans="1:140">
      <c r="A752" s="287" t="s">
        <v>2407</v>
      </c>
      <c r="B752" s="288" t="s">
        <v>3543</v>
      </c>
      <c r="C752" s="292" t="s">
        <v>3468</v>
      </c>
      <c r="D752" s="293">
        <v>7.8</v>
      </c>
      <c r="E752" s="293">
        <v>1.45</v>
      </c>
      <c r="F752" s="293" t="s">
        <v>2435</v>
      </c>
      <c r="G752" s="299"/>
      <c r="H752" s="296"/>
      <c r="I752" s="288"/>
      <c r="J752" s="288"/>
      <c r="K752" s="288"/>
    </row>
    <row r="753" spans="1:140">
      <c r="A753" s="287"/>
      <c r="B753" s="288" t="s">
        <v>3543</v>
      </c>
      <c r="C753" s="292" t="s">
        <v>3469</v>
      </c>
      <c r="D753" s="288" t="s">
        <v>2105</v>
      </c>
      <c r="E753" s="293">
        <v>1.87</v>
      </c>
      <c r="F753" s="293" t="s">
        <v>3069</v>
      </c>
      <c r="G753" s="288"/>
      <c r="I753" s="288"/>
      <c r="J753" s="288"/>
      <c r="K753" s="288"/>
    </row>
    <row r="754" spans="1:140">
      <c r="A754" s="287"/>
      <c r="B754" s="288" t="s">
        <v>3542</v>
      </c>
      <c r="C754" s="292" t="s">
        <v>3470</v>
      </c>
      <c r="D754" s="293">
        <v>8.23</v>
      </c>
      <c r="E754" s="293">
        <v>1.6</v>
      </c>
      <c r="F754" s="288" t="s">
        <v>2427</v>
      </c>
      <c r="G754" s="293"/>
      <c r="H754" s="296"/>
      <c r="I754" s="288"/>
      <c r="J754" s="288"/>
      <c r="K754" s="288"/>
    </row>
    <row r="755" spans="1:140">
      <c r="A755" s="287"/>
      <c r="B755" s="288" t="s">
        <v>3542</v>
      </c>
      <c r="C755" s="292" t="s">
        <v>3471</v>
      </c>
      <c r="D755" s="293">
        <v>9.4</v>
      </c>
      <c r="E755" s="293">
        <v>1.22</v>
      </c>
      <c r="F755" s="293" t="s">
        <v>2408</v>
      </c>
      <c r="G755" s="293"/>
      <c r="H755" s="296"/>
      <c r="I755" s="288"/>
      <c r="J755" s="288"/>
      <c r="K755" s="288"/>
    </row>
    <row r="756" spans="1:140">
      <c r="A756" s="287"/>
      <c r="B756" s="288" t="s">
        <v>3542</v>
      </c>
      <c r="C756" s="292" t="s">
        <v>3472</v>
      </c>
      <c r="D756" s="293">
        <v>10.08</v>
      </c>
      <c r="E756" s="293">
        <v>1.67</v>
      </c>
      <c r="F756" s="288" t="s">
        <v>2410</v>
      </c>
      <c r="G756" s="288"/>
      <c r="I756" s="288"/>
      <c r="J756" s="288"/>
      <c r="K756" s="288"/>
    </row>
    <row r="757" spans="1:140">
      <c r="A757" s="287"/>
      <c r="B757" s="288" t="s">
        <v>3542</v>
      </c>
      <c r="C757" s="292" t="s">
        <v>3473</v>
      </c>
      <c r="D757" s="293">
        <v>10.76</v>
      </c>
      <c r="E757" s="293">
        <v>1.37</v>
      </c>
      <c r="F757" s="293" t="s">
        <v>3069</v>
      </c>
      <c r="G757" s="288"/>
      <c r="I757" s="288"/>
      <c r="J757" s="288"/>
      <c r="K757" s="288"/>
    </row>
    <row r="758" spans="1:140">
      <c r="A758" s="287"/>
      <c r="B758" s="288" t="s">
        <v>3542</v>
      </c>
      <c r="C758" s="292" t="s">
        <v>3474</v>
      </c>
      <c r="D758" s="288" t="s">
        <v>1260</v>
      </c>
      <c r="E758" s="293">
        <v>1.45</v>
      </c>
      <c r="F758" s="293" t="s">
        <v>347</v>
      </c>
      <c r="G758" s="288"/>
      <c r="I758" s="288"/>
      <c r="J758" s="288"/>
      <c r="K758" s="288"/>
    </row>
    <row r="759" spans="1:140">
      <c r="A759" s="287"/>
      <c r="B759" s="288" t="s">
        <v>3542</v>
      </c>
      <c r="C759" s="292" t="s">
        <v>3475</v>
      </c>
      <c r="D759" s="293">
        <v>13.49</v>
      </c>
      <c r="E759" s="293">
        <v>1.68</v>
      </c>
      <c r="F759" s="293" t="s">
        <v>366</v>
      </c>
      <c r="G759" s="288"/>
      <c r="I759" s="293"/>
      <c r="J759" s="293"/>
      <c r="K759" s="293"/>
      <c r="EJ759" s="297"/>
    </row>
    <row r="760" spans="1:140">
      <c r="A760" s="287"/>
      <c r="B760" s="288" t="s">
        <v>3544</v>
      </c>
      <c r="C760" s="292" t="s">
        <v>3476</v>
      </c>
      <c r="D760" s="288" t="s">
        <v>1261</v>
      </c>
      <c r="E760" s="293">
        <v>2.36</v>
      </c>
      <c r="F760" s="293" t="s">
        <v>332</v>
      </c>
      <c r="G760" s="293"/>
      <c r="I760" s="293"/>
      <c r="J760" s="293"/>
      <c r="K760" s="293"/>
    </row>
    <row r="761" spans="1:140">
      <c r="A761" s="287"/>
      <c r="B761" s="288" t="s">
        <v>3544</v>
      </c>
      <c r="C761" s="292" t="s">
        <v>3477</v>
      </c>
      <c r="D761" s="293">
        <v>12.89</v>
      </c>
      <c r="E761" s="293">
        <v>2.5299999999999998</v>
      </c>
      <c r="F761" s="293" t="s">
        <v>342</v>
      </c>
      <c r="G761" s="293"/>
      <c r="I761" s="293"/>
      <c r="J761" s="293"/>
      <c r="K761" s="293"/>
    </row>
    <row r="762" spans="1:140">
      <c r="A762" s="287"/>
      <c r="B762" s="288" t="s">
        <v>3545</v>
      </c>
      <c r="C762" s="292" t="s">
        <v>806</v>
      </c>
      <c r="D762" s="293">
        <v>11.99</v>
      </c>
      <c r="E762" s="293">
        <v>2.35</v>
      </c>
      <c r="F762" s="293" t="s">
        <v>347</v>
      </c>
      <c r="G762" s="288"/>
      <c r="I762" s="288"/>
      <c r="J762" s="288"/>
      <c r="K762" s="288"/>
    </row>
    <row r="763" spans="1:140">
      <c r="A763" s="287"/>
      <c r="B763" s="288" t="s">
        <v>3545</v>
      </c>
      <c r="C763" s="292" t="s">
        <v>1680</v>
      </c>
      <c r="D763" s="293">
        <v>14.63</v>
      </c>
      <c r="E763" s="293">
        <v>1.94</v>
      </c>
      <c r="F763" s="293" t="s">
        <v>347</v>
      </c>
      <c r="G763" s="293"/>
      <c r="H763" s="296"/>
      <c r="I763" s="288"/>
      <c r="J763" s="288"/>
      <c r="K763" s="288"/>
    </row>
    <row r="764" spans="1:140">
      <c r="A764" s="287"/>
      <c r="B764" s="288" t="s">
        <v>3545</v>
      </c>
      <c r="C764" s="292" t="s">
        <v>1679</v>
      </c>
      <c r="D764" s="293">
        <v>14.63</v>
      </c>
      <c r="E764" s="293">
        <v>2.29</v>
      </c>
      <c r="F764" s="293" t="s">
        <v>347</v>
      </c>
      <c r="G764" s="293"/>
      <c r="H764" s="296"/>
      <c r="I764" s="288"/>
      <c r="J764" s="288"/>
      <c r="K764" s="288"/>
    </row>
    <row r="765" spans="1:140">
      <c r="A765" s="287"/>
      <c r="B765" s="288" t="s">
        <v>3546</v>
      </c>
      <c r="C765" s="292" t="s">
        <v>1681</v>
      </c>
      <c r="D765" s="293">
        <v>7.11</v>
      </c>
      <c r="E765" s="293">
        <v>1.41</v>
      </c>
      <c r="F765" s="293" t="s">
        <v>364</v>
      </c>
      <c r="G765" s="288"/>
      <c r="H765" s="296"/>
      <c r="I765" s="288"/>
      <c r="J765" s="288"/>
      <c r="K765" s="288"/>
    </row>
    <row r="766" spans="1:140">
      <c r="A766" s="287"/>
      <c r="B766" s="288" t="s">
        <v>3546</v>
      </c>
      <c r="C766" s="292" t="s">
        <v>1682</v>
      </c>
      <c r="D766" s="293">
        <v>7.11</v>
      </c>
      <c r="E766" s="293">
        <v>1.7</v>
      </c>
      <c r="F766" s="288" t="s">
        <v>364</v>
      </c>
      <c r="G766" s="288"/>
      <c r="I766" s="288"/>
      <c r="J766" s="288"/>
      <c r="K766" s="288"/>
    </row>
    <row r="767" spans="1:140">
      <c r="A767" s="287"/>
      <c r="B767" s="288" t="s">
        <v>3546</v>
      </c>
      <c r="C767" s="292" t="s">
        <v>449</v>
      </c>
      <c r="D767" s="288" t="s">
        <v>450</v>
      </c>
      <c r="E767" s="288" t="s">
        <v>451</v>
      </c>
      <c r="F767" s="288" t="s">
        <v>2427</v>
      </c>
      <c r="G767" s="288"/>
      <c r="I767" s="293"/>
      <c r="J767" s="293"/>
      <c r="K767" s="293"/>
    </row>
    <row r="768" spans="1:140">
      <c r="A768" s="287"/>
      <c r="B768" s="288" t="s">
        <v>3547</v>
      </c>
      <c r="C768" s="292" t="s">
        <v>3487</v>
      </c>
      <c r="D768" s="293">
        <v>9.99</v>
      </c>
      <c r="E768" s="288">
        <v>1.95</v>
      </c>
      <c r="F768" s="288" t="s">
        <v>2408</v>
      </c>
      <c r="G768" s="288"/>
      <c r="I768" s="288"/>
      <c r="J768" s="288"/>
      <c r="K768" s="288"/>
    </row>
    <row r="769" spans="1:11">
      <c r="A769" s="287"/>
      <c r="B769" s="288" t="s">
        <v>3547</v>
      </c>
      <c r="C769" s="292" t="s">
        <v>3488</v>
      </c>
      <c r="D769" s="293">
        <v>10.15</v>
      </c>
      <c r="E769" s="288">
        <v>2.1</v>
      </c>
      <c r="F769" s="288" t="s">
        <v>339</v>
      </c>
      <c r="G769" s="288"/>
      <c r="I769" s="288"/>
      <c r="J769" s="288"/>
      <c r="K769" s="288"/>
    </row>
    <row r="770" spans="1:11">
      <c r="A770" s="287"/>
      <c r="B770" s="288" t="s">
        <v>3547</v>
      </c>
      <c r="C770" s="292" t="s">
        <v>3489</v>
      </c>
      <c r="D770" s="293">
        <v>12.45</v>
      </c>
      <c r="E770" s="288">
        <v>2.5499999999999998</v>
      </c>
      <c r="F770" s="288" t="s">
        <v>2427</v>
      </c>
      <c r="G770" s="288"/>
      <c r="I770" s="288"/>
      <c r="J770" s="288"/>
      <c r="K770" s="288"/>
    </row>
    <row r="771" spans="1:11">
      <c r="A771" s="287"/>
      <c r="B771" s="288" t="s">
        <v>3549</v>
      </c>
      <c r="C771" s="292" t="s">
        <v>3492</v>
      </c>
      <c r="D771" s="293">
        <v>7.94</v>
      </c>
      <c r="E771" s="293">
        <v>1.6</v>
      </c>
      <c r="F771" s="293" t="s">
        <v>366</v>
      </c>
      <c r="G771" s="288"/>
      <c r="H771" s="296"/>
      <c r="I771" s="293"/>
      <c r="J771" s="293"/>
      <c r="K771" s="293"/>
    </row>
    <row r="772" spans="1:11">
      <c r="A772" s="287"/>
      <c r="B772" s="288" t="s">
        <v>3549</v>
      </c>
      <c r="C772" s="292" t="s">
        <v>3493</v>
      </c>
      <c r="D772" s="293">
        <v>10.64</v>
      </c>
      <c r="E772" s="293">
        <v>2.23</v>
      </c>
      <c r="F772" s="293" t="s">
        <v>332</v>
      </c>
      <c r="G772" s="293"/>
      <c r="I772" s="293"/>
      <c r="J772" s="293"/>
      <c r="K772" s="293"/>
    </row>
    <row r="773" spans="1:11">
      <c r="A773" s="287"/>
      <c r="B773" s="288" t="s">
        <v>3548</v>
      </c>
      <c r="C773" s="292" t="s">
        <v>3494</v>
      </c>
      <c r="D773" s="293">
        <v>10.25</v>
      </c>
      <c r="E773" s="293">
        <v>1.7</v>
      </c>
      <c r="F773" s="293" t="s">
        <v>330</v>
      </c>
      <c r="G773" s="293"/>
      <c r="I773" s="288"/>
      <c r="J773" s="288"/>
      <c r="K773" s="288"/>
    </row>
    <row r="774" spans="1:11">
      <c r="A774" s="287"/>
      <c r="B774" s="288" t="s">
        <v>3548</v>
      </c>
      <c r="C774" s="292" t="s">
        <v>3495</v>
      </c>
      <c r="D774" s="293">
        <v>10.25</v>
      </c>
      <c r="E774" s="293">
        <v>1.75</v>
      </c>
      <c r="F774" s="293" t="s">
        <v>332</v>
      </c>
      <c r="G774" s="293"/>
      <c r="I774" s="288"/>
      <c r="J774" s="288"/>
      <c r="K774" s="288"/>
    </row>
    <row r="775" spans="1:11">
      <c r="A775" s="287" t="s">
        <v>2407</v>
      </c>
      <c r="B775" s="288" t="s">
        <v>3548</v>
      </c>
      <c r="C775" s="292" t="s">
        <v>1685</v>
      </c>
      <c r="D775" s="293">
        <v>11</v>
      </c>
      <c r="E775" s="293">
        <v>1.5</v>
      </c>
      <c r="F775" s="293" t="s">
        <v>364</v>
      </c>
      <c r="G775" s="288"/>
      <c r="H775" s="296"/>
      <c r="I775" s="288"/>
      <c r="J775" s="288"/>
      <c r="K775" s="288"/>
    </row>
    <row r="776" spans="1:11">
      <c r="A776" s="287" t="s">
        <v>2407</v>
      </c>
      <c r="B776" s="288" t="s">
        <v>3548</v>
      </c>
      <c r="C776" s="292" t="s">
        <v>1684</v>
      </c>
      <c r="D776" s="293">
        <v>11</v>
      </c>
      <c r="E776" s="293">
        <v>2</v>
      </c>
      <c r="F776" s="293" t="s">
        <v>364</v>
      </c>
      <c r="G776" s="288"/>
      <c r="H776" s="296"/>
      <c r="I776" s="288"/>
      <c r="J776" s="288"/>
      <c r="K776" s="288"/>
    </row>
    <row r="777" spans="1:11">
      <c r="A777" s="287"/>
      <c r="B777" s="288" t="s">
        <v>3548</v>
      </c>
      <c r="C777" s="292" t="s">
        <v>3496</v>
      </c>
      <c r="D777" s="293">
        <v>12.7</v>
      </c>
      <c r="E777" s="293">
        <v>2.25</v>
      </c>
      <c r="F777" s="288" t="s">
        <v>2427</v>
      </c>
      <c r="G777" s="288"/>
      <c r="I777" s="288"/>
      <c r="J777" s="288"/>
      <c r="K777" s="288"/>
    </row>
    <row r="778" spans="1:11">
      <c r="A778" s="287"/>
      <c r="B778" s="288" t="s">
        <v>3548</v>
      </c>
      <c r="C778" s="292" t="s">
        <v>3497</v>
      </c>
      <c r="D778" s="288" t="s">
        <v>1263</v>
      </c>
      <c r="E778" s="293">
        <v>1.43</v>
      </c>
      <c r="F778" s="288" t="s">
        <v>2442</v>
      </c>
      <c r="G778" s="288"/>
      <c r="I778" s="288"/>
      <c r="J778" s="288"/>
      <c r="K778" s="288"/>
    </row>
    <row r="779" spans="1:11">
      <c r="A779" s="287"/>
      <c r="B779" s="288" t="s">
        <v>3548</v>
      </c>
      <c r="C779" s="292" t="s">
        <v>3498</v>
      </c>
      <c r="D779" s="293">
        <v>8</v>
      </c>
      <c r="E779" s="293">
        <v>1.47</v>
      </c>
      <c r="F779" s="293" t="s">
        <v>2435</v>
      </c>
      <c r="G779" s="288"/>
      <c r="I779" s="288"/>
      <c r="J779" s="288"/>
      <c r="K779" s="288"/>
    </row>
    <row r="780" spans="1:11">
      <c r="A780" s="287"/>
      <c r="B780" s="288" t="s">
        <v>3548</v>
      </c>
      <c r="C780" s="292" t="s">
        <v>3499</v>
      </c>
      <c r="D780" s="293">
        <v>9</v>
      </c>
      <c r="E780" s="293">
        <v>1.65</v>
      </c>
      <c r="F780" s="293" t="s">
        <v>352</v>
      </c>
      <c r="G780" s="293"/>
      <c r="I780" s="288"/>
      <c r="J780" s="288"/>
      <c r="K780" s="288"/>
    </row>
    <row r="781" spans="1:11">
      <c r="A781" s="287"/>
      <c r="B781" s="288" t="s">
        <v>3548</v>
      </c>
      <c r="C781" s="292" t="s">
        <v>3500</v>
      </c>
      <c r="D781" s="293">
        <v>9.82</v>
      </c>
      <c r="E781" s="293">
        <v>1.7</v>
      </c>
      <c r="F781" s="293" t="s">
        <v>328</v>
      </c>
      <c r="G781" s="288"/>
      <c r="I781" s="293"/>
      <c r="J781" s="293"/>
      <c r="K781" s="293"/>
    </row>
    <row r="782" spans="1:11">
      <c r="A782" s="287"/>
      <c r="B782" s="288" t="s">
        <v>3548</v>
      </c>
      <c r="C782" s="292" t="s">
        <v>3501</v>
      </c>
      <c r="D782" s="293">
        <v>8.5</v>
      </c>
      <c r="E782" s="293">
        <v>1.5</v>
      </c>
      <c r="F782" s="293" t="s">
        <v>349</v>
      </c>
      <c r="G782" s="288"/>
      <c r="I782" s="293"/>
      <c r="J782" s="293"/>
      <c r="K782" s="293"/>
    </row>
    <row r="783" spans="1:11">
      <c r="A783" s="298"/>
      <c r="B783" s="288" t="s">
        <v>3548</v>
      </c>
      <c r="C783" s="292" t="s">
        <v>3502</v>
      </c>
      <c r="D783" s="293">
        <v>8</v>
      </c>
      <c r="E783" s="293">
        <v>1.55</v>
      </c>
      <c r="F783" s="293" t="s">
        <v>3616</v>
      </c>
      <c r="G783" s="288"/>
      <c r="I783" s="288"/>
      <c r="J783" s="288"/>
      <c r="K783" s="288"/>
    </row>
    <row r="784" spans="1:11">
      <c r="A784" s="287"/>
      <c r="B784" s="288" t="s">
        <v>3548</v>
      </c>
      <c r="C784" s="292" t="s">
        <v>3503</v>
      </c>
      <c r="D784" s="288" t="s">
        <v>1264</v>
      </c>
      <c r="E784" s="293">
        <v>2</v>
      </c>
      <c r="F784" s="288" t="s">
        <v>3668</v>
      </c>
      <c r="G784" s="293"/>
      <c r="I784" s="288"/>
      <c r="J784" s="288"/>
      <c r="K784" s="288"/>
    </row>
    <row r="785" spans="1:11">
      <c r="A785" s="287"/>
      <c r="B785" s="288" t="s">
        <v>3550</v>
      </c>
      <c r="C785" s="292" t="s">
        <v>2876</v>
      </c>
      <c r="D785" s="293">
        <v>6.1</v>
      </c>
      <c r="E785" s="293">
        <v>1.38</v>
      </c>
      <c r="F785" s="288" t="s">
        <v>334</v>
      </c>
      <c r="G785" s="293"/>
      <c r="H785" s="296"/>
      <c r="I785" s="288"/>
      <c r="J785" s="288"/>
      <c r="K785" s="288"/>
    </row>
    <row r="786" spans="1:11">
      <c r="A786" s="287"/>
      <c r="B786" s="288" t="s">
        <v>3550</v>
      </c>
      <c r="C786" s="292" t="s">
        <v>786</v>
      </c>
      <c r="D786" s="293">
        <v>7.32</v>
      </c>
      <c r="E786" s="293">
        <v>1.52</v>
      </c>
      <c r="F786" s="293" t="s">
        <v>376</v>
      </c>
      <c r="G786" s="288"/>
      <c r="H786" s="296"/>
      <c r="I786" s="293"/>
      <c r="J786" s="293"/>
      <c r="K786" s="293"/>
    </row>
    <row r="787" spans="1:11">
      <c r="A787" s="287"/>
      <c r="B787" s="288" t="s">
        <v>3550</v>
      </c>
      <c r="C787" s="292" t="s">
        <v>787</v>
      </c>
      <c r="D787" s="293">
        <v>9.68</v>
      </c>
      <c r="E787" s="293">
        <v>2.09</v>
      </c>
      <c r="F787" s="293" t="s">
        <v>2412</v>
      </c>
      <c r="G787" s="288"/>
      <c r="I787" s="288"/>
      <c r="J787" s="288"/>
      <c r="K787" s="288"/>
    </row>
    <row r="788" spans="1:11">
      <c r="A788" s="287"/>
      <c r="B788" s="288" t="s">
        <v>3551</v>
      </c>
      <c r="C788" s="292" t="s">
        <v>2879</v>
      </c>
      <c r="D788" s="293">
        <v>10.119999999999999</v>
      </c>
      <c r="E788" s="293">
        <v>1.9</v>
      </c>
      <c r="F788" s="293" t="s">
        <v>3069</v>
      </c>
      <c r="G788" s="288"/>
      <c r="I788" s="288"/>
      <c r="J788" s="288"/>
      <c r="K788" s="288"/>
    </row>
    <row r="789" spans="1:11">
      <c r="A789" s="287"/>
      <c r="B789" s="288" t="s">
        <v>3551</v>
      </c>
      <c r="C789" s="292" t="s">
        <v>2880</v>
      </c>
      <c r="D789" s="293">
        <v>10.119999999999999</v>
      </c>
      <c r="E789" s="293">
        <v>1.22</v>
      </c>
      <c r="F789" s="293" t="s">
        <v>3069</v>
      </c>
      <c r="G789" s="288"/>
      <c r="I789" s="288"/>
      <c r="J789" s="288"/>
      <c r="K789" s="288"/>
    </row>
    <row r="790" spans="1:11">
      <c r="A790" s="287"/>
      <c r="B790" s="288" t="s">
        <v>3551</v>
      </c>
      <c r="C790" s="292" t="s">
        <v>2881</v>
      </c>
      <c r="D790" s="293">
        <v>10.119999999999999</v>
      </c>
      <c r="E790" s="293">
        <v>1.9</v>
      </c>
      <c r="F790" s="293" t="s">
        <v>3069</v>
      </c>
      <c r="G790" s="288"/>
      <c r="H790" s="296"/>
      <c r="I790" s="288"/>
      <c r="J790" s="288"/>
      <c r="K790" s="288"/>
    </row>
    <row r="791" spans="1:11">
      <c r="A791" s="287"/>
      <c r="B791" s="288" t="s">
        <v>3551</v>
      </c>
      <c r="C791" s="292" t="s">
        <v>2882</v>
      </c>
      <c r="D791" s="293">
        <v>11.53</v>
      </c>
      <c r="E791" s="293">
        <v>2.0499999999999998</v>
      </c>
      <c r="F791" s="293" t="s">
        <v>355</v>
      </c>
      <c r="G791" s="288"/>
      <c r="I791" s="293"/>
      <c r="J791" s="293"/>
      <c r="K791" s="293"/>
    </row>
    <row r="792" spans="1:11">
      <c r="A792" s="287"/>
      <c r="B792" s="288" t="s">
        <v>3551</v>
      </c>
      <c r="C792" s="292" t="s">
        <v>2883</v>
      </c>
      <c r="D792" s="293">
        <v>8.3800000000000008</v>
      </c>
      <c r="E792" s="293">
        <v>1.65</v>
      </c>
      <c r="F792" s="293" t="s">
        <v>355</v>
      </c>
      <c r="G792" s="288"/>
      <c r="I792" s="293"/>
      <c r="J792" s="293"/>
      <c r="K792" s="293"/>
    </row>
    <row r="793" spans="1:11">
      <c r="A793" s="287"/>
      <c r="B793" s="288" t="s">
        <v>3551</v>
      </c>
      <c r="C793" s="292" t="s">
        <v>2884</v>
      </c>
      <c r="D793" s="293">
        <v>8.3800000000000008</v>
      </c>
      <c r="E793" s="288" t="s">
        <v>327</v>
      </c>
      <c r="F793" s="293" t="s">
        <v>355</v>
      </c>
      <c r="G793" s="288"/>
      <c r="I793" s="288"/>
      <c r="J793" s="288"/>
      <c r="K793" s="288"/>
    </row>
    <row r="794" spans="1:11">
      <c r="A794" s="287"/>
      <c r="B794" s="288" t="s">
        <v>3551</v>
      </c>
      <c r="C794" s="292" t="s">
        <v>2885</v>
      </c>
      <c r="D794" s="300">
        <v>9.06</v>
      </c>
      <c r="E794" s="300">
        <v>1.79</v>
      </c>
      <c r="F794" s="300" t="s">
        <v>3668</v>
      </c>
      <c r="G794" s="293"/>
      <c r="I794" s="293"/>
      <c r="J794" s="293"/>
      <c r="K794" s="293"/>
    </row>
    <row r="795" spans="1:11">
      <c r="A795" s="287"/>
      <c r="B795" s="288" t="s">
        <v>3551</v>
      </c>
      <c r="C795" s="292" t="s">
        <v>2886</v>
      </c>
      <c r="D795" s="288" t="s">
        <v>2144</v>
      </c>
      <c r="E795" s="293">
        <v>1.9</v>
      </c>
      <c r="F795" s="293" t="s">
        <v>328</v>
      </c>
      <c r="G795" s="293"/>
      <c r="H795" s="296"/>
      <c r="I795" s="288"/>
      <c r="J795" s="288"/>
      <c r="K795" s="288"/>
    </row>
    <row r="796" spans="1:11">
      <c r="A796" s="287"/>
      <c r="B796" s="288" t="s">
        <v>3551</v>
      </c>
      <c r="C796" s="292" t="s">
        <v>2887</v>
      </c>
      <c r="D796" s="293">
        <v>7.77</v>
      </c>
      <c r="E796" s="293">
        <v>1</v>
      </c>
      <c r="F796" s="293" t="s">
        <v>347</v>
      </c>
      <c r="G796" s="288"/>
      <c r="H796" s="296"/>
      <c r="I796" s="293"/>
      <c r="J796" s="293"/>
      <c r="K796" s="293"/>
    </row>
    <row r="797" spans="1:11">
      <c r="A797" s="287"/>
      <c r="B797" s="288" t="s">
        <v>3551</v>
      </c>
      <c r="C797" s="292" t="s">
        <v>2888</v>
      </c>
      <c r="D797" s="293">
        <v>7.77</v>
      </c>
      <c r="E797" s="293">
        <v>1</v>
      </c>
      <c r="F797" s="293" t="s">
        <v>347</v>
      </c>
      <c r="G797" s="288"/>
      <c r="I797" s="293"/>
      <c r="J797" s="293"/>
      <c r="K797" s="293"/>
    </row>
    <row r="798" spans="1:11">
      <c r="A798" s="287"/>
      <c r="B798" s="288" t="s">
        <v>3552</v>
      </c>
      <c r="C798" s="292" t="s">
        <v>2894</v>
      </c>
      <c r="D798" s="293">
        <v>9.14</v>
      </c>
      <c r="E798" s="293">
        <v>1.47</v>
      </c>
      <c r="F798" s="293" t="s">
        <v>3638</v>
      </c>
      <c r="G798" s="288"/>
      <c r="H798" s="296"/>
      <c r="I798" s="288"/>
      <c r="J798" s="288"/>
      <c r="K798" s="288"/>
    </row>
    <row r="799" spans="1:11">
      <c r="A799" s="287"/>
      <c r="B799" s="288" t="s">
        <v>3552</v>
      </c>
      <c r="C799" s="292" t="s">
        <v>2895</v>
      </c>
      <c r="D799" s="293">
        <v>9.39</v>
      </c>
      <c r="E799" s="293">
        <v>1.53</v>
      </c>
      <c r="F799" s="293" t="s">
        <v>3668</v>
      </c>
      <c r="G799" s="293"/>
      <c r="I799" s="293"/>
      <c r="J799" s="293"/>
      <c r="K799" s="293"/>
    </row>
    <row r="800" spans="1:11">
      <c r="A800" s="287"/>
      <c r="B800" s="288" t="s">
        <v>3552</v>
      </c>
      <c r="C800" s="292" t="s">
        <v>2896</v>
      </c>
      <c r="D800" s="293">
        <v>10.07</v>
      </c>
      <c r="E800" s="293">
        <v>1.56</v>
      </c>
      <c r="F800" s="288" t="s">
        <v>2418</v>
      </c>
      <c r="G800" s="288"/>
      <c r="H800" s="296"/>
      <c r="I800" s="288"/>
      <c r="J800" s="288"/>
      <c r="K800" s="288"/>
    </row>
    <row r="801" spans="1:11">
      <c r="A801" s="287"/>
      <c r="B801" s="288" t="s">
        <v>3552</v>
      </c>
      <c r="C801" s="292" t="s">
        <v>2897</v>
      </c>
      <c r="D801" s="293">
        <v>10.07</v>
      </c>
      <c r="E801" s="293">
        <v>1.35</v>
      </c>
      <c r="F801" s="288" t="s">
        <v>2418</v>
      </c>
      <c r="G801" s="288"/>
      <c r="H801" s="296"/>
      <c r="I801" s="288"/>
      <c r="J801" s="288"/>
      <c r="K801" s="288"/>
    </row>
    <row r="802" spans="1:11">
      <c r="A802" s="287"/>
      <c r="B802" s="288" t="s">
        <v>3552</v>
      </c>
      <c r="C802" s="292" t="s">
        <v>2898</v>
      </c>
      <c r="D802" s="293">
        <v>10.210000000000001</v>
      </c>
      <c r="E802" s="293">
        <v>1.68</v>
      </c>
      <c r="F802" s="293" t="s">
        <v>347</v>
      </c>
      <c r="G802" s="288"/>
      <c r="I802" s="288"/>
      <c r="J802" s="288"/>
      <c r="K802" s="288"/>
    </row>
    <row r="803" spans="1:11">
      <c r="A803" s="287"/>
      <c r="B803" s="288" t="s">
        <v>3552</v>
      </c>
      <c r="C803" s="292" t="s">
        <v>2899</v>
      </c>
      <c r="D803" s="288" t="s">
        <v>1266</v>
      </c>
      <c r="E803" s="293">
        <v>1.52</v>
      </c>
      <c r="F803" s="293" t="s">
        <v>3668</v>
      </c>
      <c r="G803" s="288"/>
      <c r="H803" s="296"/>
      <c r="I803" s="288"/>
      <c r="J803" s="288"/>
      <c r="K803" s="288"/>
    </row>
    <row r="804" spans="1:11">
      <c r="A804" s="287"/>
      <c r="B804" s="288" t="s">
        <v>3552</v>
      </c>
      <c r="C804" s="292" t="s">
        <v>2900</v>
      </c>
      <c r="D804" s="293">
        <v>10.97</v>
      </c>
      <c r="E804" s="293">
        <v>1.52</v>
      </c>
      <c r="F804" s="293" t="s">
        <v>350</v>
      </c>
      <c r="G804" s="293"/>
      <c r="I804" s="288"/>
      <c r="J804" s="288"/>
      <c r="K804" s="288"/>
    </row>
    <row r="805" spans="1:11">
      <c r="A805" s="287"/>
      <c r="B805" s="288" t="s">
        <v>3552</v>
      </c>
      <c r="C805" s="292" t="s">
        <v>2901</v>
      </c>
      <c r="D805" s="288" t="s">
        <v>2090</v>
      </c>
      <c r="E805" s="293">
        <v>1.19</v>
      </c>
      <c r="F805" s="293" t="s">
        <v>2404</v>
      </c>
      <c r="G805" s="293"/>
      <c r="I805" s="288"/>
      <c r="J805" s="288"/>
      <c r="K805" s="288"/>
    </row>
    <row r="806" spans="1:11">
      <c r="A806" s="287"/>
      <c r="B806" s="288" t="s">
        <v>3552</v>
      </c>
      <c r="C806" s="292" t="s">
        <v>2902</v>
      </c>
      <c r="D806" s="293">
        <v>11.28</v>
      </c>
      <c r="E806" s="293">
        <v>1.68</v>
      </c>
      <c r="F806" s="293" t="s">
        <v>355</v>
      </c>
      <c r="G806" s="288"/>
      <c r="I806" s="288"/>
      <c r="J806" s="288"/>
      <c r="K806" s="288"/>
    </row>
    <row r="807" spans="1:11">
      <c r="A807" s="287"/>
      <c r="B807" s="288" t="s">
        <v>3552</v>
      </c>
      <c r="C807" s="292" t="s">
        <v>1687</v>
      </c>
      <c r="D807" s="293">
        <v>11.53</v>
      </c>
      <c r="E807" s="293">
        <v>1.3</v>
      </c>
      <c r="F807" s="293" t="s">
        <v>355</v>
      </c>
      <c r="G807" s="293"/>
      <c r="I807" s="288"/>
      <c r="J807" s="288"/>
      <c r="K807" s="288"/>
    </row>
    <row r="808" spans="1:11">
      <c r="A808" s="287"/>
      <c r="B808" s="288" t="s">
        <v>3552</v>
      </c>
      <c r="C808" s="292" t="s">
        <v>1686</v>
      </c>
      <c r="D808" s="293">
        <v>11.53</v>
      </c>
      <c r="E808" s="293">
        <v>1.68</v>
      </c>
      <c r="F808" s="293" t="s">
        <v>355</v>
      </c>
      <c r="G808" s="288"/>
      <c r="I808" s="288"/>
      <c r="J808" s="288"/>
      <c r="K808" s="288"/>
    </row>
    <row r="809" spans="1:11">
      <c r="A809" s="287"/>
      <c r="B809" s="288" t="s">
        <v>3552</v>
      </c>
      <c r="C809" s="292" t="s">
        <v>2903</v>
      </c>
      <c r="D809" s="293">
        <v>11.33</v>
      </c>
      <c r="E809" s="293">
        <v>1.45</v>
      </c>
      <c r="F809" s="288" t="s">
        <v>2424</v>
      </c>
      <c r="G809" s="293"/>
      <c r="I809" s="288"/>
      <c r="J809" s="288"/>
      <c r="K809" s="288"/>
    </row>
    <row r="810" spans="1:11">
      <c r="A810" s="287"/>
      <c r="B810" s="288" t="s">
        <v>3552</v>
      </c>
      <c r="C810" s="292" t="s">
        <v>2904</v>
      </c>
      <c r="D810" s="293">
        <v>11.43</v>
      </c>
      <c r="E810" s="293">
        <v>1.75</v>
      </c>
      <c r="F810" s="288" t="s">
        <v>330</v>
      </c>
      <c r="G810" s="293"/>
      <c r="I810" s="293"/>
      <c r="J810" s="293"/>
      <c r="K810" s="293"/>
    </row>
    <row r="811" spans="1:11">
      <c r="A811" s="287"/>
      <c r="B811" s="288" t="s">
        <v>3552</v>
      </c>
      <c r="C811" s="292" t="s">
        <v>2905</v>
      </c>
      <c r="D811" s="293">
        <v>12.42</v>
      </c>
      <c r="E811" s="293">
        <v>1.83</v>
      </c>
      <c r="F811" s="293" t="s">
        <v>347</v>
      </c>
      <c r="G811" s="288"/>
      <c r="I811" s="288"/>
      <c r="J811" s="288"/>
      <c r="K811" s="288"/>
    </row>
    <row r="812" spans="1:11">
      <c r="A812" s="287"/>
      <c r="B812" s="288" t="s">
        <v>3552</v>
      </c>
      <c r="C812" s="292" t="s">
        <v>2906</v>
      </c>
      <c r="D812" s="293">
        <v>13.65</v>
      </c>
      <c r="E812" s="293">
        <v>2.06</v>
      </c>
      <c r="F812" s="288" t="s">
        <v>2408</v>
      </c>
      <c r="G812" s="293"/>
      <c r="I812" s="288"/>
      <c r="J812" s="288"/>
      <c r="K812" s="288"/>
    </row>
    <row r="813" spans="1:11">
      <c r="A813" s="287"/>
      <c r="B813" s="288" t="s">
        <v>3552</v>
      </c>
      <c r="C813" s="292" t="s">
        <v>2907</v>
      </c>
      <c r="D813" s="293">
        <v>14.17</v>
      </c>
      <c r="E813" s="293">
        <v>2.06</v>
      </c>
      <c r="F813" s="293" t="s">
        <v>2424</v>
      </c>
      <c r="G813" s="288"/>
      <c r="I813" s="288"/>
      <c r="J813" s="288"/>
      <c r="K813" s="288"/>
    </row>
    <row r="814" spans="1:11">
      <c r="A814" s="287"/>
      <c r="B814" s="288" t="s">
        <v>3552</v>
      </c>
      <c r="C814" s="292" t="s">
        <v>2908</v>
      </c>
      <c r="D814" s="293">
        <v>9.4700000000000006</v>
      </c>
      <c r="E814" s="293">
        <v>1.64</v>
      </c>
      <c r="F814" s="293" t="s">
        <v>2406</v>
      </c>
      <c r="G814" s="288"/>
      <c r="H814" s="296"/>
      <c r="I814" s="288"/>
      <c r="J814" s="288"/>
      <c r="K814" s="288"/>
    </row>
    <row r="815" spans="1:11">
      <c r="A815" s="287"/>
      <c r="B815" s="288" t="s">
        <v>3552</v>
      </c>
      <c r="C815" s="292" t="s">
        <v>2909</v>
      </c>
      <c r="D815" s="293">
        <v>9.4700000000000006</v>
      </c>
      <c r="E815" s="293">
        <v>1.1399999999999999</v>
      </c>
      <c r="F815" s="293" t="s">
        <v>2406</v>
      </c>
      <c r="G815" s="288"/>
      <c r="I815" s="288"/>
      <c r="J815" s="288"/>
      <c r="K815" s="288"/>
    </row>
    <row r="816" spans="1:11">
      <c r="A816" s="287"/>
      <c r="B816" s="288" t="s">
        <v>3552</v>
      </c>
      <c r="C816" s="292" t="s">
        <v>2910</v>
      </c>
      <c r="D816" s="293">
        <v>11.58</v>
      </c>
      <c r="E816" s="293">
        <v>1.91</v>
      </c>
      <c r="F816" s="293" t="s">
        <v>342</v>
      </c>
      <c r="G816" s="288"/>
      <c r="I816" s="288"/>
      <c r="J816" s="288"/>
      <c r="K816" s="288"/>
    </row>
    <row r="817" spans="1:11">
      <c r="A817" s="287"/>
      <c r="B817" s="288" t="s">
        <v>3553</v>
      </c>
      <c r="C817" s="292" t="s">
        <v>2913</v>
      </c>
      <c r="D817" s="293">
        <v>8.3000000000000007</v>
      </c>
      <c r="E817" s="293">
        <v>1.34</v>
      </c>
      <c r="F817" s="293" t="s">
        <v>3635</v>
      </c>
      <c r="G817" s="288"/>
      <c r="I817" s="288"/>
      <c r="J817" s="288"/>
      <c r="K817" s="288"/>
    </row>
    <row r="818" spans="1:11">
      <c r="A818" s="287"/>
      <c r="B818" s="288" t="s">
        <v>3553</v>
      </c>
      <c r="C818" s="292" t="s">
        <v>2914</v>
      </c>
      <c r="D818" s="293">
        <v>11.51</v>
      </c>
      <c r="E818" s="293">
        <v>2.59</v>
      </c>
      <c r="F818" s="293" t="s">
        <v>2431</v>
      </c>
      <c r="G818" s="288"/>
      <c r="I818" s="293"/>
      <c r="J818" s="293"/>
      <c r="K818" s="293"/>
    </row>
    <row r="819" spans="1:11">
      <c r="A819" s="287"/>
      <c r="B819" s="288" t="s">
        <v>3553</v>
      </c>
      <c r="C819" s="292" t="s">
        <v>2915</v>
      </c>
      <c r="D819" s="293">
        <v>12.72</v>
      </c>
      <c r="E819" s="293">
        <v>2.04</v>
      </c>
      <c r="F819" s="293" t="s">
        <v>2439</v>
      </c>
      <c r="G819" s="288"/>
      <c r="I819" s="288"/>
      <c r="J819" s="288"/>
      <c r="K819" s="288"/>
    </row>
    <row r="820" spans="1:11">
      <c r="A820" s="287"/>
      <c r="B820" s="288" t="s">
        <v>3553</v>
      </c>
      <c r="C820" s="292" t="s">
        <v>2916</v>
      </c>
      <c r="D820" s="293">
        <v>7.8</v>
      </c>
      <c r="E820" s="293">
        <v>1.96</v>
      </c>
      <c r="F820" s="293" t="s">
        <v>330</v>
      </c>
      <c r="G820" s="288"/>
      <c r="I820" s="288"/>
      <c r="J820" s="288"/>
      <c r="K820" s="288"/>
    </row>
    <row r="821" spans="1:11">
      <c r="A821" s="287"/>
      <c r="B821" s="288" t="s">
        <v>3553</v>
      </c>
      <c r="C821" s="292" t="s">
        <v>2917</v>
      </c>
      <c r="D821" s="293">
        <v>12.5</v>
      </c>
      <c r="E821" s="288" t="s">
        <v>327</v>
      </c>
      <c r="F821" s="293" t="s">
        <v>336</v>
      </c>
      <c r="G821" s="288"/>
      <c r="I821" s="288"/>
      <c r="J821" s="288"/>
      <c r="K821" s="288"/>
    </row>
    <row r="822" spans="1:11">
      <c r="A822" s="287"/>
      <c r="B822" s="288" t="s">
        <v>3554</v>
      </c>
      <c r="C822" s="292" t="s">
        <v>2918</v>
      </c>
      <c r="D822" s="293">
        <v>13.41</v>
      </c>
      <c r="E822" s="293">
        <v>1.7</v>
      </c>
      <c r="F822" s="293" t="s">
        <v>2404</v>
      </c>
      <c r="G822" s="288"/>
      <c r="H822" s="296"/>
      <c r="I822" s="288"/>
      <c r="J822" s="288"/>
      <c r="K822" s="288"/>
    </row>
    <row r="823" spans="1:11">
      <c r="A823" s="287"/>
      <c r="B823" s="288" t="s">
        <v>3554</v>
      </c>
      <c r="C823" s="292" t="s">
        <v>1688</v>
      </c>
      <c r="D823" s="293">
        <v>11</v>
      </c>
      <c r="E823" s="293">
        <v>1.6</v>
      </c>
      <c r="F823" s="293" t="s">
        <v>344</v>
      </c>
      <c r="G823" s="293"/>
      <c r="I823" s="288"/>
      <c r="J823" s="288"/>
      <c r="K823" s="288"/>
    </row>
    <row r="824" spans="1:11">
      <c r="A824" s="287"/>
      <c r="B824" s="288" t="s">
        <v>3554</v>
      </c>
      <c r="C824" s="292" t="s">
        <v>1689</v>
      </c>
      <c r="D824" s="293">
        <v>11</v>
      </c>
      <c r="E824" s="293">
        <v>1.98</v>
      </c>
      <c r="F824" s="293" t="s">
        <v>344</v>
      </c>
      <c r="G824" s="288"/>
      <c r="I824" s="288"/>
      <c r="J824" s="288"/>
      <c r="K824" s="288"/>
    </row>
    <row r="825" spans="1:11">
      <c r="A825" s="287"/>
      <c r="B825" s="288" t="s">
        <v>3555</v>
      </c>
      <c r="C825" s="292" t="s">
        <v>2580</v>
      </c>
      <c r="D825" s="293">
        <v>9.98</v>
      </c>
      <c r="E825" s="293">
        <v>1.7</v>
      </c>
      <c r="F825" s="293" t="s">
        <v>2408</v>
      </c>
      <c r="G825" s="288"/>
      <c r="I825" s="288"/>
      <c r="J825" s="288"/>
      <c r="K825" s="288"/>
    </row>
    <row r="826" spans="1:11">
      <c r="A826" s="287"/>
      <c r="B826" s="288" t="s">
        <v>3555</v>
      </c>
      <c r="C826" s="292" t="s">
        <v>2581</v>
      </c>
      <c r="D826" s="293">
        <v>10.82</v>
      </c>
      <c r="E826" s="293">
        <v>1.9</v>
      </c>
      <c r="F826" s="288" t="s">
        <v>339</v>
      </c>
      <c r="G826" s="288"/>
      <c r="I826" s="288"/>
      <c r="J826" s="288"/>
      <c r="K826" s="288"/>
    </row>
    <row r="827" spans="1:11">
      <c r="A827" s="287"/>
      <c r="B827" s="288" t="s">
        <v>3555</v>
      </c>
      <c r="C827" s="292" t="s">
        <v>2582</v>
      </c>
      <c r="D827" s="293">
        <v>11.55</v>
      </c>
      <c r="E827" s="293">
        <v>1.9</v>
      </c>
      <c r="F827" s="293" t="s">
        <v>2412</v>
      </c>
      <c r="G827" s="288"/>
      <c r="I827" s="288"/>
      <c r="J827" s="288"/>
      <c r="K827" s="288"/>
    </row>
    <row r="828" spans="1:11">
      <c r="A828" s="287"/>
      <c r="B828" s="288" t="s">
        <v>3555</v>
      </c>
      <c r="C828" s="292" t="s">
        <v>2583</v>
      </c>
      <c r="D828" s="293">
        <v>11.75</v>
      </c>
      <c r="E828" s="293">
        <v>1.85</v>
      </c>
      <c r="F828" s="293" t="s">
        <v>2442</v>
      </c>
      <c r="G828" s="288"/>
      <c r="I828" s="293"/>
      <c r="J828" s="293"/>
      <c r="K828" s="293"/>
    </row>
    <row r="829" spans="1:11">
      <c r="A829" s="287"/>
      <c r="B829" s="288" t="s">
        <v>3555</v>
      </c>
      <c r="C829" s="292" t="s">
        <v>2584</v>
      </c>
      <c r="D829" s="293">
        <v>13.5</v>
      </c>
      <c r="E829" s="293">
        <v>2.1</v>
      </c>
      <c r="F829" s="288" t="s">
        <v>2427</v>
      </c>
      <c r="G829" s="288"/>
      <c r="I829" s="288"/>
      <c r="J829" s="288"/>
      <c r="K829" s="288"/>
    </row>
    <row r="830" spans="1:11">
      <c r="A830" s="287"/>
      <c r="B830" s="288" t="s">
        <v>3555</v>
      </c>
      <c r="C830" s="292" t="s">
        <v>2585</v>
      </c>
      <c r="D830" s="293">
        <v>15.5</v>
      </c>
      <c r="E830" s="293">
        <v>2.2000000000000002</v>
      </c>
      <c r="F830" s="288" t="s">
        <v>352</v>
      </c>
      <c r="G830" s="288"/>
      <c r="I830" s="293"/>
      <c r="J830" s="293"/>
      <c r="K830" s="293"/>
    </row>
    <row r="831" spans="1:11">
      <c r="A831" s="287"/>
      <c r="B831" s="288" t="s">
        <v>3954</v>
      </c>
      <c r="C831" s="292" t="s">
        <v>2618</v>
      </c>
      <c r="D831" s="293">
        <v>13.78</v>
      </c>
      <c r="E831" s="293">
        <v>2.0099999999999998</v>
      </c>
      <c r="F831" s="293" t="s">
        <v>2619</v>
      </c>
      <c r="G831" s="293"/>
      <c r="I831" s="288"/>
      <c r="J831" s="288"/>
      <c r="K831" s="288"/>
    </row>
    <row r="832" spans="1:11">
      <c r="A832" s="287"/>
      <c r="B832" s="288" t="s">
        <v>3954</v>
      </c>
      <c r="C832" s="292" t="s">
        <v>2620</v>
      </c>
      <c r="D832" s="293">
        <v>12.05</v>
      </c>
      <c r="E832" s="293">
        <v>2.19</v>
      </c>
      <c r="F832" s="293" t="s">
        <v>2418</v>
      </c>
      <c r="G832" s="288"/>
      <c r="H832" s="296"/>
      <c r="I832" s="288"/>
      <c r="J832" s="288"/>
      <c r="K832" s="288"/>
    </row>
    <row r="833" spans="1:11">
      <c r="A833" s="287"/>
      <c r="B833" s="288" t="s">
        <v>3556</v>
      </c>
      <c r="C833" s="292" t="s">
        <v>2587</v>
      </c>
      <c r="D833" s="293">
        <v>9.01</v>
      </c>
      <c r="E833" s="293">
        <v>1.72</v>
      </c>
      <c r="F833" s="293" t="s">
        <v>2431</v>
      </c>
      <c r="G833" s="288"/>
      <c r="I833" s="288"/>
      <c r="J833" s="288"/>
      <c r="K833" s="288"/>
    </row>
    <row r="834" spans="1:11">
      <c r="A834" s="287"/>
      <c r="B834" s="288" t="s">
        <v>3556</v>
      </c>
      <c r="C834" s="292" t="s">
        <v>2588</v>
      </c>
      <c r="D834" s="288" t="s">
        <v>1267</v>
      </c>
      <c r="E834" s="293">
        <v>1.72</v>
      </c>
      <c r="F834" s="293" t="s">
        <v>350</v>
      </c>
      <c r="G834" s="288"/>
      <c r="H834" s="296"/>
      <c r="I834" s="288"/>
      <c r="J834" s="288"/>
      <c r="K834" s="288"/>
    </row>
    <row r="835" spans="1:11">
      <c r="A835" s="287"/>
      <c r="B835" s="288" t="s">
        <v>3556</v>
      </c>
      <c r="C835" s="292" t="s">
        <v>2589</v>
      </c>
      <c r="D835" s="293">
        <v>9.86</v>
      </c>
      <c r="E835" s="293">
        <v>1.72</v>
      </c>
      <c r="F835" s="293" t="s">
        <v>2590</v>
      </c>
      <c r="G835" s="288"/>
      <c r="I835" s="288"/>
      <c r="J835" s="288"/>
      <c r="K835" s="288"/>
    </row>
    <row r="836" spans="1:11">
      <c r="A836" s="287"/>
      <c r="B836" s="288" t="s">
        <v>3556</v>
      </c>
      <c r="C836" s="292" t="s">
        <v>2591</v>
      </c>
      <c r="D836" s="293">
        <v>9.86</v>
      </c>
      <c r="E836" s="293">
        <v>1.71</v>
      </c>
      <c r="F836" s="293" t="s">
        <v>2590</v>
      </c>
      <c r="G836" s="288"/>
      <c r="I836" s="288"/>
      <c r="J836" s="288"/>
      <c r="K836" s="288"/>
    </row>
    <row r="837" spans="1:11">
      <c r="A837" s="287"/>
      <c r="B837" s="288" t="s">
        <v>3556</v>
      </c>
      <c r="C837" s="292" t="s">
        <v>2592</v>
      </c>
      <c r="D837" s="293">
        <v>9.86</v>
      </c>
      <c r="E837" s="293">
        <v>1.72</v>
      </c>
      <c r="F837" s="293" t="s">
        <v>2590</v>
      </c>
      <c r="G837" s="288"/>
      <c r="I837" s="288"/>
      <c r="J837" s="288"/>
      <c r="K837" s="288"/>
    </row>
    <row r="838" spans="1:11">
      <c r="A838" s="287"/>
      <c r="B838" s="288" t="s">
        <v>3556</v>
      </c>
      <c r="C838" s="292" t="s">
        <v>2593</v>
      </c>
      <c r="D838" s="288" t="s">
        <v>1268</v>
      </c>
      <c r="E838" s="293">
        <v>1.95</v>
      </c>
      <c r="F838" s="293" t="s">
        <v>3638</v>
      </c>
      <c r="G838" s="288"/>
      <c r="I838" s="288"/>
      <c r="J838" s="288"/>
      <c r="K838" s="288"/>
    </row>
    <row r="839" spans="1:11">
      <c r="A839" s="287"/>
      <c r="B839" s="288" t="s">
        <v>3556</v>
      </c>
      <c r="C839" s="292" t="s">
        <v>2594</v>
      </c>
      <c r="D839" s="288" t="s">
        <v>1268</v>
      </c>
      <c r="E839" s="293">
        <v>1.8</v>
      </c>
      <c r="F839" s="293" t="s">
        <v>3638</v>
      </c>
      <c r="G839" s="288"/>
      <c r="I839" s="293"/>
      <c r="J839" s="293"/>
      <c r="K839" s="293"/>
    </row>
    <row r="840" spans="1:11">
      <c r="A840" s="287"/>
      <c r="B840" s="288" t="s">
        <v>3556</v>
      </c>
      <c r="C840" s="292" t="s">
        <v>2595</v>
      </c>
      <c r="D840" s="288" t="s">
        <v>2056</v>
      </c>
      <c r="E840" s="293">
        <v>1.93</v>
      </c>
      <c r="F840" s="293" t="s">
        <v>2418</v>
      </c>
      <c r="G840" s="288"/>
      <c r="I840" s="288"/>
      <c r="J840" s="288"/>
      <c r="K840" s="288"/>
    </row>
    <row r="841" spans="1:11">
      <c r="A841" s="287"/>
      <c r="B841" s="288" t="s">
        <v>3556</v>
      </c>
      <c r="C841" s="292" t="s">
        <v>2596</v>
      </c>
      <c r="D841" s="293">
        <v>10.74</v>
      </c>
      <c r="E841" s="293">
        <v>1.71</v>
      </c>
      <c r="F841" s="293" t="s">
        <v>2415</v>
      </c>
      <c r="G841" s="293"/>
      <c r="I841" s="288"/>
      <c r="J841" s="288"/>
      <c r="K841" s="288"/>
    </row>
    <row r="842" spans="1:11">
      <c r="A842" s="287"/>
      <c r="B842" s="288" t="s">
        <v>3556</v>
      </c>
      <c r="C842" s="292" t="s">
        <v>2597</v>
      </c>
      <c r="D842" s="293">
        <v>10.91</v>
      </c>
      <c r="E842" s="293">
        <v>1.8</v>
      </c>
      <c r="F842" s="293" t="s">
        <v>3031</v>
      </c>
      <c r="G842" s="288"/>
      <c r="I842" s="288"/>
      <c r="J842" s="288"/>
      <c r="K842" s="288"/>
    </row>
    <row r="843" spans="1:11">
      <c r="A843" s="287"/>
      <c r="B843" s="288" t="s">
        <v>3556</v>
      </c>
      <c r="C843" s="292" t="s">
        <v>2598</v>
      </c>
      <c r="D843" s="293">
        <v>11.14</v>
      </c>
      <c r="E843" s="293">
        <v>1.79</v>
      </c>
      <c r="F843" s="293" t="s">
        <v>2429</v>
      </c>
      <c r="G843" s="293"/>
      <c r="H843" s="296"/>
      <c r="I843" s="288"/>
      <c r="J843" s="288"/>
      <c r="K843" s="288"/>
    </row>
    <row r="844" spans="1:11">
      <c r="A844" s="287"/>
      <c r="B844" s="288" t="s">
        <v>3556</v>
      </c>
      <c r="C844" s="292" t="s">
        <v>2599</v>
      </c>
      <c r="D844" s="293">
        <v>13</v>
      </c>
      <c r="E844" s="293">
        <v>2.0699999999999998</v>
      </c>
      <c r="F844" s="293" t="s">
        <v>381</v>
      </c>
      <c r="G844" s="288"/>
      <c r="I844" s="288"/>
      <c r="J844" s="288"/>
      <c r="K844" s="288"/>
    </row>
    <row r="845" spans="1:11">
      <c r="A845" s="287"/>
      <c r="B845" s="288" t="s">
        <v>3556</v>
      </c>
      <c r="C845" s="292" t="s">
        <v>2600</v>
      </c>
      <c r="D845" s="288" t="s">
        <v>1269</v>
      </c>
      <c r="E845" s="293">
        <v>2.1</v>
      </c>
      <c r="F845" s="293" t="s">
        <v>2439</v>
      </c>
      <c r="G845" s="288"/>
      <c r="I845" s="288"/>
      <c r="J845" s="288"/>
      <c r="K845" s="288"/>
    </row>
    <row r="846" spans="1:11">
      <c r="A846" s="287"/>
      <c r="B846" s="288" t="s">
        <v>3556</v>
      </c>
      <c r="C846" s="292" t="s">
        <v>2601</v>
      </c>
      <c r="D846" s="293">
        <v>13.41</v>
      </c>
      <c r="E846" s="293">
        <v>2.2000000000000002</v>
      </c>
      <c r="F846" s="293" t="s">
        <v>3635</v>
      </c>
      <c r="G846" s="288"/>
      <c r="I846" s="288"/>
      <c r="J846" s="288"/>
      <c r="K846" s="288"/>
    </row>
    <row r="847" spans="1:11">
      <c r="A847" s="287"/>
      <c r="B847" s="288" t="s">
        <v>3556</v>
      </c>
      <c r="C847" s="292" t="s">
        <v>2602</v>
      </c>
      <c r="D847" s="293">
        <v>14.43</v>
      </c>
      <c r="E847" s="293">
        <v>1.83</v>
      </c>
      <c r="F847" s="293" t="s">
        <v>2415</v>
      </c>
      <c r="G847" s="288"/>
      <c r="I847" s="288"/>
      <c r="J847" s="288"/>
      <c r="K847" s="288"/>
    </row>
    <row r="848" spans="1:11">
      <c r="A848" s="287"/>
      <c r="B848" s="288" t="s">
        <v>3556</v>
      </c>
      <c r="C848" s="292" t="s">
        <v>2603</v>
      </c>
      <c r="D848" s="288" t="s">
        <v>1270</v>
      </c>
      <c r="E848" s="293">
        <v>2.6</v>
      </c>
      <c r="F848" s="293" t="s">
        <v>2415</v>
      </c>
      <c r="G848" s="288"/>
      <c r="I848" s="288"/>
      <c r="J848" s="288"/>
      <c r="K848" s="288"/>
    </row>
    <row r="849" spans="1:11">
      <c r="A849" s="287"/>
      <c r="B849" s="288" t="s">
        <v>3556</v>
      </c>
      <c r="C849" s="292" t="s">
        <v>2604</v>
      </c>
      <c r="D849" s="288" t="s">
        <v>1270</v>
      </c>
      <c r="E849" s="293">
        <v>2.59</v>
      </c>
      <c r="F849" s="293" t="s">
        <v>2415</v>
      </c>
      <c r="G849" s="288"/>
      <c r="I849" s="293"/>
      <c r="J849" s="293"/>
      <c r="K849" s="293"/>
    </row>
    <row r="850" spans="1:11">
      <c r="A850" s="287"/>
      <c r="B850" s="288" t="s">
        <v>3556</v>
      </c>
      <c r="C850" s="292" t="s">
        <v>2605</v>
      </c>
      <c r="D850" s="293">
        <v>18.16</v>
      </c>
      <c r="E850" s="293">
        <v>2.13</v>
      </c>
      <c r="F850" s="293" t="s">
        <v>3616</v>
      </c>
      <c r="G850" s="288"/>
      <c r="I850" s="293"/>
      <c r="J850" s="293"/>
      <c r="K850" s="293"/>
    </row>
    <row r="851" spans="1:11">
      <c r="A851" s="287"/>
      <c r="B851" s="288" t="s">
        <v>3556</v>
      </c>
      <c r="C851" s="292" t="s">
        <v>2606</v>
      </c>
      <c r="D851" s="288" t="s">
        <v>1271</v>
      </c>
      <c r="E851" s="293">
        <v>1.72</v>
      </c>
      <c r="F851" s="293" t="s">
        <v>350</v>
      </c>
      <c r="G851" s="288"/>
      <c r="I851" s="288"/>
      <c r="J851" s="288"/>
      <c r="K851" s="288"/>
    </row>
    <row r="852" spans="1:11">
      <c r="A852" s="287"/>
      <c r="B852" s="288" t="s">
        <v>3952</v>
      </c>
      <c r="C852" s="292" t="s">
        <v>2613</v>
      </c>
      <c r="D852" s="288" t="s">
        <v>1272</v>
      </c>
      <c r="E852" s="293">
        <v>1.71</v>
      </c>
      <c r="F852" s="293" t="s">
        <v>349</v>
      </c>
      <c r="G852" s="293"/>
      <c r="I852" s="288"/>
      <c r="J852" s="288"/>
      <c r="K852" s="288"/>
    </row>
    <row r="853" spans="1:11">
      <c r="A853" s="287"/>
      <c r="B853" s="288" t="s">
        <v>3952</v>
      </c>
      <c r="C853" s="292" t="s">
        <v>1691</v>
      </c>
      <c r="D853" s="293">
        <v>11.22</v>
      </c>
      <c r="E853" s="293">
        <v>2.48</v>
      </c>
      <c r="F853" s="293" t="s">
        <v>2424</v>
      </c>
      <c r="G853" s="288"/>
      <c r="H853" s="296"/>
      <c r="I853" s="288"/>
      <c r="J853" s="288"/>
      <c r="K853" s="288"/>
    </row>
    <row r="854" spans="1:11">
      <c r="A854" s="287"/>
      <c r="B854" s="288" t="s">
        <v>3952</v>
      </c>
      <c r="C854" s="292" t="s">
        <v>4034</v>
      </c>
      <c r="D854" s="293">
        <v>11.22</v>
      </c>
      <c r="E854" s="293">
        <v>2.1800000000000002</v>
      </c>
      <c r="F854" s="293" t="s">
        <v>2424</v>
      </c>
      <c r="G854" s="288"/>
      <c r="H854" s="296"/>
      <c r="I854" s="288"/>
      <c r="J854" s="288"/>
      <c r="K854" s="288"/>
    </row>
    <row r="855" spans="1:11">
      <c r="A855" s="287"/>
      <c r="B855" s="288" t="s">
        <v>3952</v>
      </c>
      <c r="C855" s="292" t="s">
        <v>4035</v>
      </c>
      <c r="D855" s="288" t="s">
        <v>2052</v>
      </c>
      <c r="E855" s="293">
        <v>2.2400000000000002</v>
      </c>
      <c r="F855" s="293" t="s">
        <v>364</v>
      </c>
      <c r="G855" s="288"/>
      <c r="I855" s="288"/>
      <c r="J855" s="288"/>
      <c r="K855" s="288"/>
    </row>
    <row r="856" spans="1:11">
      <c r="A856" s="287"/>
      <c r="B856" s="288" t="s">
        <v>3952</v>
      </c>
      <c r="C856" s="292" t="s">
        <v>4036</v>
      </c>
      <c r="D856" s="293">
        <v>11.21</v>
      </c>
      <c r="E856" s="293">
        <v>2.56</v>
      </c>
      <c r="F856" s="293" t="s">
        <v>364</v>
      </c>
      <c r="G856" s="288"/>
      <c r="I856" s="288"/>
      <c r="J856" s="288"/>
      <c r="K856" s="288"/>
    </row>
    <row r="857" spans="1:11">
      <c r="A857" s="287"/>
      <c r="B857" s="288" t="s">
        <v>3952</v>
      </c>
      <c r="C857" s="292" t="s">
        <v>2614</v>
      </c>
      <c r="D857" s="293">
        <v>11.58</v>
      </c>
      <c r="E857" s="293">
        <v>1.9</v>
      </c>
      <c r="F857" s="293" t="s">
        <v>2435</v>
      </c>
      <c r="G857" s="288"/>
      <c r="I857" s="288"/>
      <c r="J857" s="288"/>
      <c r="K857" s="288"/>
    </row>
    <row r="858" spans="1:11">
      <c r="A858" s="287"/>
      <c r="B858" s="288" t="s">
        <v>3952</v>
      </c>
      <c r="C858" s="292" t="s">
        <v>4037</v>
      </c>
      <c r="D858" s="293">
        <v>11.62</v>
      </c>
      <c r="E858" s="293">
        <v>1.95</v>
      </c>
      <c r="F858" s="293" t="s">
        <v>3668</v>
      </c>
      <c r="G858" s="288"/>
      <c r="I858" s="293"/>
      <c r="J858" s="293"/>
      <c r="K858" s="293"/>
    </row>
    <row r="859" spans="1:11">
      <c r="A859" s="287"/>
      <c r="B859" s="288" t="s">
        <v>3952</v>
      </c>
      <c r="C859" s="292" t="s">
        <v>4038</v>
      </c>
      <c r="D859" s="293">
        <v>11.6</v>
      </c>
      <c r="E859" s="293">
        <v>1.78</v>
      </c>
      <c r="F859" s="293" t="s">
        <v>355</v>
      </c>
      <c r="G859" s="288"/>
      <c r="I859" s="293"/>
      <c r="J859" s="293"/>
      <c r="K859" s="293"/>
    </row>
    <row r="860" spans="1:11">
      <c r="A860" s="287"/>
      <c r="B860" s="288" t="s">
        <v>3952</v>
      </c>
      <c r="C860" s="292" t="s">
        <v>4039</v>
      </c>
      <c r="D860" s="288" t="s">
        <v>1273</v>
      </c>
      <c r="E860" s="293">
        <v>2.33</v>
      </c>
      <c r="F860" s="293" t="s">
        <v>2404</v>
      </c>
      <c r="G860" s="288"/>
      <c r="I860" s="288"/>
      <c r="J860" s="288"/>
      <c r="K860" s="288"/>
    </row>
    <row r="861" spans="1:11">
      <c r="A861" s="287"/>
      <c r="B861" s="288" t="s">
        <v>3953</v>
      </c>
      <c r="C861" s="292" t="s">
        <v>2616</v>
      </c>
      <c r="D861" s="293">
        <v>10.84</v>
      </c>
      <c r="E861" s="293">
        <v>2.1800000000000002</v>
      </c>
      <c r="F861" s="293" t="s">
        <v>2406</v>
      </c>
      <c r="G861" s="288"/>
      <c r="I861" s="293"/>
      <c r="J861" s="293"/>
      <c r="K861" s="288"/>
    </row>
    <row r="862" spans="1:11">
      <c r="A862" s="288"/>
      <c r="B862" s="288" t="s">
        <v>3953</v>
      </c>
      <c r="C862" s="292" t="s">
        <v>2617</v>
      </c>
      <c r="D862" s="293">
        <v>11.63</v>
      </c>
      <c r="E862" s="293">
        <v>2.2799999999999998</v>
      </c>
      <c r="F862" s="293" t="s">
        <v>3647</v>
      </c>
      <c r="G862" s="293"/>
      <c r="H862" s="296"/>
      <c r="I862" s="288"/>
      <c r="J862" s="288"/>
      <c r="K862" s="288"/>
    </row>
    <row r="863" spans="1:11">
      <c r="A863" s="287"/>
      <c r="B863" s="288" t="s">
        <v>3955</v>
      </c>
      <c r="C863" s="292" t="s">
        <v>2642</v>
      </c>
      <c r="D863" s="293">
        <v>10.4</v>
      </c>
      <c r="E863" s="293">
        <v>1.88</v>
      </c>
      <c r="F863" s="293" t="s">
        <v>3635</v>
      </c>
      <c r="G863" s="293"/>
      <c r="H863" s="296"/>
      <c r="I863" s="288"/>
      <c r="J863" s="288"/>
      <c r="K863" s="288"/>
    </row>
    <row r="864" spans="1:11">
      <c r="A864" s="287" t="s">
        <v>2407</v>
      </c>
      <c r="B864" s="288" t="s">
        <v>3955</v>
      </c>
      <c r="C864" s="292" t="s">
        <v>2643</v>
      </c>
      <c r="D864" s="288" t="s">
        <v>1279</v>
      </c>
      <c r="E864" s="293">
        <v>1.91</v>
      </c>
      <c r="F864" s="293" t="s">
        <v>2439</v>
      </c>
      <c r="G864" s="288"/>
      <c r="I864" s="288"/>
      <c r="J864" s="288"/>
      <c r="K864" s="288"/>
    </row>
    <row r="865" spans="1:11">
      <c r="A865" s="287" t="s">
        <v>2407</v>
      </c>
      <c r="B865" s="288" t="s">
        <v>3955</v>
      </c>
      <c r="C865" s="292" t="s">
        <v>2644</v>
      </c>
      <c r="D865" s="293">
        <v>12.51</v>
      </c>
      <c r="E865" s="293">
        <v>1.85</v>
      </c>
      <c r="F865" s="293" t="s">
        <v>2645</v>
      </c>
      <c r="G865" s="288"/>
      <c r="H865" s="296"/>
      <c r="I865" s="288"/>
      <c r="J865" s="288"/>
      <c r="K865" s="288"/>
    </row>
    <row r="866" spans="1:11">
      <c r="A866" s="287" t="s">
        <v>2407</v>
      </c>
      <c r="B866" s="288" t="s">
        <v>3956</v>
      </c>
      <c r="C866" s="292" t="s">
        <v>2646</v>
      </c>
      <c r="D866" s="293">
        <v>9.0399999999999991</v>
      </c>
      <c r="E866" s="293">
        <v>1.6</v>
      </c>
      <c r="F866" s="293" t="s">
        <v>355</v>
      </c>
      <c r="G866" s="288"/>
      <c r="I866" s="288"/>
      <c r="J866" s="288"/>
      <c r="K866" s="288"/>
    </row>
    <row r="867" spans="1:11">
      <c r="A867" s="287"/>
      <c r="B867" s="288" t="s">
        <v>3956</v>
      </c>
      <c r="C867" s="292" t="s">
        <v>2647</v>
      </c>
      <c r="D867" s="293">
        <v>9.14</v>
      </c>
      <c r="E867" s="293">
        <v>1.55</v>
      </c>
      <c r="F867" s="293" t="s">
        <v>3616</v>
      </c>
      <c r="G867" s="288"/>
      <c r="I867" s="293"/>
      <c r="J867" s="293"/>
      <c r="K867" s="293"/>
    </row>
    <row r="868" spans="1:11">
      <c r="A868" s="287"/>
      <c r="B868" s="288" t="s">
        <v>3956</v>
      </c>
      <c r="C868" s="292" t="s">
        <v>2648</v>
      </c>
      <c r="D868" s="293">
        <v>10.32</v>
      </c>
      <c r="E868" s="293">
        <v>1.85</v>
      </c>
      <c r="F868" s="293" t="s">
        <v>352</v>
      </c>
      <c r="G868" s="288"/>
      <c r="I868" s="293"/>
      <c r="J868" s="293"/>
      <c r="K868" s="293"/>
    </row>
    <row r="869" spans="1:11">
      <c r="A869" s="287"/>
      <c r="B869" s="288" t="s">
        <v>3956</v>
      </c>
      <c r="C869" s="292" t="s">
        <v>2649</v>
      </c>
      <c r="D869" s="293">
        <v>12.07</v>
      </c>
      <c r="E869" s="293">
        <v>2.09</v>
      </c>
      <c r="F869" s="293" t="s">
        <v>3616</v>
      </c>
      <c r="G869" s="288"/>
      <c r="I869" s="288"/>
      <c r="J869" s="288"/>
      <c r="K869" s="288"/>
    </row>
    <row r="870" spans="1:11">
      <c r="A870" s="287"/>
      <c r="B870" s="288" t="s">
        <v>3956</v>
      </c>
      <c r="C870" s="292" t="s">
        <v>2650</v>
      </c>
      <c r="D870" s="293">
        <v>9.0500000000000007</v>
      </c>
      <c r="E870" s="293">
        <v>1.68</v>
      </c>
      <c r="F870" s="293" t="s">
        <v>347</v>
      </c>
      <c r="G870" s="288"/>
      <c r="I870" s="288"/>
      <c r="J870" s="288"/>
      <c r="K870" s="288"/>
    </row>
    <row r="871" spans="1:11">
      <c r="A871" s="287"/>
      <c r="B871" s="288" t="s">
        <v>3935</v>
      </c>
      <c r="C871" s="292">
        <v>747</v>
      </c>
      <c r="D871" s="293">
        <v>7.47</v>
      </c>
      <c r="E871" s="293">
        <v>1.75</v>
      </c>
      <c r="F871" s="288" t="s">
        <v>2409</v>
      </c>
      <c r="G871" s="293"/>
      <c r="H871" s="296"/>
      <c r="I871" s="293"/>
      <c r="J871" s="293"/>
      <c r="K871" s="293"/>
    </row>
    <row r="872" spans="1:11">
      <c r="A872" s="287"/>
      <c r="B872" s="288" t="s">
        <v>3935</v>
      </c>
      <c r="C872" s="292" t="s">
        <v>1280</v>
      </c>
      <c r="D872" s="293">
        <v>7.47</v>
      </c>
      <c r="E872" s="288">
        <v>1.71</v>
      </c>
      <c r="F872" s="288" t="s">
        <v>2404</v>
      </c>
      <c r="G872" s="293"/>
      <c r="H872" s="296"/>
      <c r="I872" s="288"/>
      <c r="J872" s="288"/>
      <c r="K872" s="288"/>
    </row>
    <row r="873" spans="1:11">
      <c r="A873" s="287"/>
      <c r="B873" s="288" t="s">
        <v>3935</v>
      </c>
      <c r="C873" s="292" t="s">
        <v>807</v>
      </c>
      <c r="D873" s="293">
        <v>10.25</v>
      </c>
      <c r="E873" s="288">
        <v>1.8</v>
      </c>
      <c r="F873" s="288" t="s">
        <v>2405</v>
      </c>
      <c r="G873" s="288"/>
      <c r="I873" s="293"/>
      <c r="J873" s="293"/>
      <c r="K873" s="293"/>
    </row>
    <row r="874" spans="1:11">
      <c r="A874" s="287"/>
      <c r="B874" s="288" t="s">
        <v>3935</v>
      </c>
      <c r="C874" s="292" t="s">
        <v>2155</v>
      </c>
      <c r="D874" s="293">
        <v>8</v>
      </c>
      <c r="E874" s="293">
        <v>1.6</v>
      </c>
      <c r="F874" s="293" t="s">
        <v>2406</v>
      </c>
      <c r="G874" s="293"/>
      <c r="I874" s="293"/>
      <c r="J874" s="293"/>
      <c r="K874" s="293"/>
    </row>
    <row r="875" spans="1:11">
      <c r="A875" s="287"/>
      <c r="B875" s="288" t="s">
        <v>3935</v>
      </c>
      <c r="C875" s="292" t="s">
        <v>808</v>
      </c>
      <c r="D875" s="293">
        <v>8</v>
      </c>
      <c r="E875" s="293">
        <v>1.6</v>
      </c>
      <c r="F875" s="293" t="s">
        <v>2406</v>
      </c>
      <c r="G875" s="288"/>
      <c r="H875" s="296"/>
      <c r="I875" s="293"/>
      <c r="J875" s="293"/>
      <c r="K875" s="293"/>
    </row>
    <row r="876" spans="1:11">
      <c r="A876" s="287"/>
      <c r="B876" s="288" t="s">
        <v>3935</v>
      </c>
      <c r="C876" s="292" t="s">
        <v>809</v>
      </c>
      <c r="D876" s="293">
        <v>10.63</v>
      </c>
      <c r="E876" s="293">
        <v>2.31</v>
      </c>
      <c r="F876" s="293" t="s">
        <v>2408</v>
      </c>
      <c r="G876" s="288"/>
      <c r="I876" s="293"/>
      <c r="J876" s="293"/>
      <c r="K876" s="293"/>
    </row>
    <row r="877" spans="1:11">
      <c r="A877" s="287"/>
      <c r="B877" s="288" t="s">
        <v>3935</v>
      </c>
      <c r="C877" s="292" t="s">
        <v>2156</v>
      </c>
      <c r="D877" s="293">
        <v>8</v>
      </c>
      <c r="E877" s="293">
        <v>1.68</v>
      </c>
      <c r="F877" s="293" t="s">
        <v>2406</v>
      </c>
      <c r="G877" s="288"/>
      <c r="H877" s="296"/>
      <c r="I877" s="293"/>
      <c r="J877" s="293"/>
      <c r="K877" s="293"/>
    </row>
    <row r="878" spans="1:11">
      <c r="A878" s="287"/>
      <c r="B878" s="288" t="s">
        <v>3935</v>
      </c>
      <c r="C878" s="292" t="s">
        <v>2421</v>
      </c>
      <c r="D878" s="293">
        <v>10.199999999999999</v>
      </c>
      <c r="E878" s="293">
        <v>1.77</v>
      </c>
      <c r="F878" s="293" t="s">
        <v>2422</v>
      </c>
      <c r="G878" s="288"/>
      <c r="H878" s="296"/>
      <c r="I878" s="293"/>
      <c r="J878" s="293"/>
      <c r="K878" s="293"/>
    </row>
    <row r="879" spans="1:11">
      <c r="A879" s="287"/>
      <c r="B879" s="288" t="s">
        <v>3935</v>
      </c>
      <c r="C879" s="292" t="s">
        <v>2425</v>
      </c>
      <c r="D879" s="293">
        <v>13.31</v>
      </c>
      <c r="E879" s="293">
        <v>2.42</v>
      </c>
      <c r="F879" s="293" t="s">
        <v>2418</v>
      </c>
      <c r="G879" s="288"/>
      <c r="H879" s="296"/>
      <c r="I879" s="288"/>
      <c r="J879" s="288"/>
      <c r="K879" s="288"/>
    </row>
    <row r="880" spans="1:11">
      <c r="A880" s="287"/>
      <c r="B880" s="288" t="s">
        <v>3935</v>
      </c>
      <c r="C880" s="292" t="s">
        <v>2426</v>
      </c>
      <c r="D880" s="293">
        <v>12.18</v>
      </c>
      <c r="E880" s="293">
        <v>3</v>
      </c>
      <c r="F880" s="288" t="s">
        <v>2427</v>
      </c>
      <c r="G880" s="293"/>
      <c r="H880" s="296"/>
      <c r="I880" s="288"/>
      <c r="J880" s="288"/>
      <c r="K880" s="288"/>
    </row>
    <row r="881" spans="1:11">
      <c r="A881" s="287"/>
      <c r="B881" s="288" t="s">
        <v>3935</v>
      </c>
      <c r="C881" s="292" t="s">
        <v>2428</v>
      </c>
      <c r="D881" s="293">
        <v>10.6</v>
      </c>
      <c r="E881" s="293">
        <v>1.54</v>
      </c>
      <c r="F881" s="293" t="s">
        <v>2429</v>
      </c>
      <c r="G881" s="293"/>
      <c r="H881" s="296"/>
      <c r="I881" s="293"/>
      <c r="J881" s="293"/>
      <c r="K881" s="293"/>
    </row>
    <row r="882" spans="1:11">
      <c r="A882" s="287"/>
      <c r="B882" s="288" t="s">
        <v>3935</v>
      </c>
      <c r="C882" s="292" t="s">
        <v>2441</v>
      </c>
      <c r="D882" s="293">
        <v>8.61</v>
      </c>
      <c r="E882" s="293">
        <v>1.39</v>
      </c>
      <c r="F882" s="293" t="s">
        <v>2442</v>
      </c>
      <c r="G882" s="288"/>
      <c r="H882" s="296"/>
      <c r="I882" s="288"/>
      <c r="J882" s="288"/>
      <c r="K882" s="288"/>
    </row>
    <row r="883" spans="1:11">
      <c r="A883" s="287"/>
      <c r="B883" s="288" t="s">
        <v>3935</v>
      </c>
      <c r="C883" s="292" t="s">
        <v>323</v>
      </c>
      <c r="D883" s="293">
        <v>11.7</v>
      </c>
      <c r="E883" s="293">
        <v>1.83</v>
      </c>
      <c r="F883" s="293" t="s">
        <v>2408</v>
      </c>
      <c r="G883" s="288"/>
      <c r="I883" s="293"/>
      <c r="J883" s="293"/>
      <c r="K883" s="293"/>
    </row>
    <row r="884" spans="1:11">
      <c r="A884" s="287"/>
      <c r="B884" s="288" t="s">
        <v>3935</v>
      </c>
      <c r="C884" s="292" t="s">
        <v>324</v>
      </c>
      <c r="D884" s="293">
        <v>9.9499999999999993</v>
      </c>
      <c r="E884" s="293">
        <v>1.65</v>
      </c>
      <c r="F884" s="288" t="s">
        <v>2418</v>
      </c>
      <c r="G884" s="293"/>
      <c r="I884" s="288"/>
      <c r="J884" s="288"/>
      <c r="K884" s="288"/>
    </row>
    <row r="885" spans="1:11">
      <c r="A885" s="287"/>
      <c r="B885" s="288" t="s">
        <v>3935</v>
      </c>
      <c r="C885" s="292" t="s">
        <v>325</v>
      </c>
      <c r="D885" s="293">
        <v>11.7</v>
      </c>
      <c r="E885" s="293">
        <v>2</v>
      </c>
      <c r="F885" s="293" t="s">
        <v>2442</v>
      </c>
      <c r="G885" s="288"/>
      <c r="H885" s="296"/>
      <c r="I885" s="288"/>
      <c r="J885" s="288"/>
      <c r="K885" s="288"/>
    </row>
    <row r="886" spans="1:11">
      <c r="A886" s="287"/>
      <c r="B886" s="288" t="s">
        <v>3935</v>
      </c>
      <c r="C886" s="292" t="s">
        <v>326</v>
      </c>
      <c r="D886" s="293">
        <v>8.56</v>
      </c>
      <c r="E886" s="288" t="s">
        <v>327</v>
      </c>
      <c r="F886" s="293" t="s">
        <v>328</v>
      </c>
      <c r="G886" s="293"/>
      <c r="I886" s="288"/>
      <c r="J886" s="288"/>
      <c r="K886" s="288"/>
    </row>
    <row r="887" spans="1:11">
      <c r="A887" s="287"/>
      <c r="B887" s="288" t="s">
        <v>3935</v>
      </c>
      <c r="C887" s="292" t="s">
        <v>335</v>
      </c>
      <c r="D887" s="293">
        <v>9.24</v>
      </c>
      <c r="E887" s="293">
        <v>1.34</v>
      </c>
      <c r="F887" s="293" t="s">
        <v>336</v>
      </c>
      <c r="G887" s="293"/>
      <c r="H887" s="296"/>
      <c r="I887" s="288"/>
      <c r="J887" s="288"/>
      <c r="K887" s="288"/>
    </row>
    <row r="888" spans="1:11">
      <c r="A888" s="287"/>
      <c r="B888" s="288" t="s">
        <v>3935</v>
      </c>
      <c r="C888" s="292" t="s">
        <v>340</v>
      </c>
      <c r="D888" s="288" t="s">
        <v>2036</v>
      </c>
      <c r="E888" s="288" t="s">
        <v>327</v>
      </c>
      <c r="F888" s="293" t="s">
        <v>2427</v>
      </c>
      <c r="G888" s="293"/>
      <c r="I888" s="293"/>
      <c r="J888" s="293"/>
      <c r="K888" s="293"/>
    </row>
    <row r="889" spans="1:11">
      <c r="A889" s="287"/>
      <c r="B889" s="288" t="s">
        <v>3935</v>
      </c>
      <c r="C889" s="292" t="s">
        <v>341</v>
      </c>
      <c r="D889" s="288" t="s">
        <v>2037</v>
      </c>
      <c r="E889" s="293">
        <v>2.0099999999999998</v>
      </c>
      <c r="F889" s="293" t="s">
        <v>342</v>
      </c>
      <c r="G889" s="293"/>
      <c r="I889" s="293"/>
      <c r="J889" s="293"/>
      <c r="K889" s="293"/>
    </row>
    <row r="890" spans="1:11">
      <c r="A890" s="287"/>
      <c r="B890" s="288" t="s">
        <v>3935</v>
      </c>
      <c r="C890" s="292" t="s">
        <v>530</v>
      </c>
      <c r="D890" s="288" t="s">
        <v>2116</v>
      </c>
      <c r="E890" s="288" t="s">
        <v>531</v>
      </c>
      <c r="F890" s="288" t="s">
        <v>2412</v>
      </c>
      <c r="G890" s="293"/>
      <c r="I890" s="293"/>
      <c r="J890" s="293"/>
      <c r="K890" s="293"/>
    </row>
    <row r="891" spans="1:11">
      <c r="A891" s="287"/>
      <c r="B891" s="288" t="s">
        <v>3935</v>
      </c>
      <c r="C891" s="292" t="s">
        <v>343</v>
      </c>
      <c r="D891" s="293">
        <v>6.57</v>
      </c>
      <c r="E891" s="293">
        <v>1.42</v>
      </c>
      <c r="F891" s="293" t="s">
        <v>344</v>
      </c>
      <c r="G891" s="293"/>
      <c r="I891" s="288"/>
      <c r="J891" s="288"/>
      <c r="K891" s="288"/>
    </row>
    <row r="892" spans="1:11">
      <c r="A892" s="287"/>
      <c r="B892" s="288" t="s">
        <v>3935</v>
      </c>
      <c r="C892" s="292" t="s">
        <v>1719</v>
      </c>
      <c r="D892" s="288" t="s">
        <v>1720</v>
      </c>
      <c r="E892" s="288" t="s">
        <v>1721</v>
      </c>
      <c r="F892" s="288" t="s">
        <v>2412</v>
      </c>
      <c r="G892" s="288"/>
      <c r="H892" s="296"/>
      <c r="I892" s="288"/>
      <c r="J892" s="288"/>
      <c r="K892" s="288"/>
    </row>
    <row r="893" spans="1:11">
      <c r="A893" s="287"/>
      <c r="B893" s="288" t="s">
        <v>3935</v>
      </c>
      <c r="C893" s="292" t="s">
        <v>380</v>
      </c>
      <c r="D893" s="293">
        <v>12.32</v>
      </c>
      <c r="E893" s="293">
        <v>1.26</v>
      </c>
      <c r="F893" s="293" t="s">
        <v>381</v>
      </c>
      <c r="G893" s="288"/>
      <c r="H893" s="296"/>
      <c r="I893" s="288"/>
      <c r="J893" s="288"/>
      <c r="K893" s="288"/>
    </row>
    <row r="894" spans="1:11">
      <c r="A894" s="287"/>
      <c r="B894" s="288" t="s">
        <v>3935</v>
      </c>
      <c r="C894" s="292" t="s">
        <v>3614</v>
      </c>
      <c r="D894" s="293">
        <v>11.07</v>
      </c>
      <c r="E894" s="293">
        <v>1.99</v>
      </c>
      <c r="F894" s="293" t="s">
        <v>328</v>
      </c>
      <c r="G894" s="293"/>
      <c r="H894" s="296"/>
      <c r="I894" s="288"/>
      <c r="J894" s="288"/>
      <c r="K894" s="288"/>
    </row>
    <row r="895" spans="1:11">
      <c r="A895" s="287"/>
      <c r="B895" s="288" t="s">
        <v>3935</v>
      </c>
      <c r="C895" s="292" t="s">
        <v>3615</v>
      </c>
      <c r="D895" s="293">
        <v>9.4499999999999993</v>
      </c>
      <c r="E895" s="293">
        <v>1.84</v>
      </c>
      <c r="F895" s="293" t="s">
        <v>3616</v>
      </c>
      <c r="G895" s="288"/>
      <c r="I895" s="288"/>
      <c r="J895" s="288"/>
      <c r="K895" s="288"/>
    </row>
    <row r="896" spans="1:11">
      <c r="A896" s="287"/>
      <c r="B896" s="288" t="s">
        <v>3935</v>
      </c>
      <c r="C896" s="292" t="s">
        <v>3617</v>
      </c>
      <c r="D896" s="293">
        <v>10.94</v>
      </c>
      <c r="E896" s="293">
        <v>1.82</v>
      </c>
      <c r="F896" s="293" t="s">
        <v>3618</v>
      </c>
      <c r="G896" s="288"/>
      <c r="I896" s="288"/>
      <c r="J896" s="288"/>
      <c r="K896" s="288"/>
    </row>
    <row r="897" spans="1:11">
      <c r="A897" s="287"/>
      <c r="B897" s="288" t="s">
        <v>3935</v>
      </c>
      <c r="C897" s="292" t="s">
        <v>3619</v>
      </c>
      <c r="D897" s="293">
        <v>7.03</v>
      </c>
      <c r="E897" s="288" t="s">
        <v>327</v>
      </c>
      <c r="F897" s="293" t="s">
        <v>2435</v>
      </c>
      <c r="G897" s="293"/>
      <c r="I897" s="288"/>
      <c r="J897" s="288"/>
      <c r="K897" s="288"/>
    </row>
    <row r="898" spans="1:11">
      <c r="A898" s="287"/>
      <c r="B898" s="288" t="s">
        <v>3935</v>
      </c>
      <c r="C898" s="292" t="s">
        <v>3620</v>
      </c>
      <c r="D898" s="288" t="s">
        <v>2047</v>
      </c>
      <c r="E898" s="293">
        <v>1.5</v>
      </c>
      <c r="F898" s="293" t="s">
        <v>350</v>
      </c>
      <c r="G898" s="288"/>
      <c r="I898" s="288"/>
      <c r="J898" s="288"/>
      <c r="K898" s="288"/>
    </row>
    <row r="899" spans="1:11">
      <c r="A899" s="287"/>
      <c r="B899" s="288" t="s">
        <v>3935</v>
      </c>
      <c r="C899" s="292" t="s">
        <v>3621</v>
      </c>
      <c r="D899" s="293">
        <v>7.78</v>
      </c>
      <c r="E899" s="293">
        <v>1.5</v>
      </c>
      <c r="F899" s="293" t="s">
        <v>2418</v>
      </c>
      <c r="G899" s="288"/>
      <c r="I899" s="288"/>
      <c r="J899" s="288"/>
      <c r="K899" s="288"/>
    </row>
    <row r="900" spans="1:11">
      <c r="A900" s="287"/>
      <c r="B900" s="288" t="s">
        <v>3935</v>
      </c>
      <c r="C900" s="292" t="s">
        <v>3622</v>
      </c>
      <c r="D900" s="293">
        <v>10.82</v>
      </c>
      <c r="E900" s="293">
        <v>1.96</v>
      </c>
      <c r="F900" s="293" t="s">
        <v>2437</v>
      </c>
      <c r="G900" s="288"/>
      <c r="I900" s="293"/>
      <c r="J900" s="293"/>
      <c r="K900" s="293"/>
    </row>
    <row r="901" spans="1:11">
      <c r="A901" s="287"/>
      <c r="B901" s="288" t="s">
        <v>3935</v>
      </c>
      <c r="C901" s="292" t="s">
        <v>599</v>
      </c>
      <c r="D901" s="288" t="s">
        <v>600</v>
      </c>
      <c r="E901" s="288" t="s">
        <v>601</v>
      </c>
      <c r="F901" s="288" t="s">
        <v>1154</v>
      </c>
      <c r="G901" s="288"/>
      <c r="I901" s="293"/>
      <c r="J901" s="293"/>
      <c r="K901" s="293"/>
    </row>
    <row r="902" spans="1:11">
      <c r="A902" s="287"/>
      <c r="B902" s="288" t="s">
        <v>3935</v>
      </c>
      <c r="C902" s="292" t="s">
        <v>1722</v>
      </c>
      <c r="D902" s="288" t="s">
        <v>2048</v>
      </c>
      <c r="E902" s="288" t="s">
        <v>2058</v>
      </c>
      <c r="F902" s="288" t="s">
        <v>332</v>
      </c>
      <c r="G902" s="293"/>
      <c r="I902" s="293"/>
      <c r="J902" s="293"/>
      <c r="K902" s="293"/>
    </row>
    <row r="903" spans="1:11">
      <c r="A903" s="287"/>
      <c r="B903" s="288" t="s">
        <v>3935</v>
      </c>
      <c r="C903" s="292" t="s">
        <v>1723</v>
      </c>
      <c r="D903" s="288" t="s">
        <v>1724</v>
      </c>
      <c r="E903" s="288" t="s">
        <v>1725</v>
      </c>
      <c r="F903" s="288" t="s">
        <v>2413</v>
      </c>
      <c r="G903" s="293"/>
      <c r="I903" s="293"/>
      <c r="J903" s="293"/>
      <c r="K903" s="293"/>
    </row>
    <row r="904" spans="1:11">
      <c r="A904" s="287"/>
      <c r="B904" s="288" t="s">
        <v>3935</v>
      </c>
      <c r="C904" s="292" t="s">
        <v>3623</v>
      </c>
      <c r="D904" s="293">
        <v>18.739999999999998</v>
      </c>
      <c r="E904" s="293">
        <v>3.85</v>
      </c>
      <c r="F904" s="288" t="s">
        <v>337</v>
      </c>
      <c r="G904" s="293"/>
      <c r="H904" s="296"/>
      <c r="I904" s="293"/>
      <c r="J904" s="293"/>
      <c r="K904" s="293"/>
    </row>
    <row r="905" spans="1:11">
      <c r="A905" s="287"/>
      <c r="B905" s="288" t="s">
        <v>3935</v>
      </c>
      <c r="C905" s="292" t="s">
        <v>3645</v>
      </c>
      <c r="D905" s="293">
        <v>9.1</v>
      </c>
      <c r="E905" s="293">
        <v>1.8</v>
      </c>
      <c r="F905" s="293" t="s">
        <v>349</v>
      </c>
      <c r="G905" s="288"/>
      <c r="H905" s="296"/>
      <c r="I905" s="293"/>
      <c r="J905" s="293"/>
      <c r="K905" s="293"/>
    </row>
    <row r="906" spans="1:11">
      <c r="A906" s="287"/>
      <c r="B906" s="288" t="s">
        <v>3935</v>
      </c>
      <c r="C906" s="292" t="s">
        <v>3646</v>
      </c>
      <c r="D906" s="293">
        <v>11.38</v>
      </c>
      <c r="E906" s="293">
        <v>2.13</v>
      </c>
      <c r="F906" s="293" t="s">
        <v>3647</v>
      </c>
      <c r="G906" s="288"/>
      <c r="H906" s="296"/>
      <c r="I906" s="293"/>
      <c r="J906" s="293"/>
      <c r="K906" s="293"/>
    </row>
    <row r="907" spans="1:11">
      <c r="A907" s="287"/>
      <c r="B907" s="288" t="s">
        <v>3935</v>
      </c>
      <c r="C907" s="292" t="s">
        <v>1729</v>
      </c>
      <c r="D907" s="288" t="s">
        <v>1730</v>
      </c>
      <c r="E907" s="288" t="s">
        <v>1731</v>
      </c>
      <c r="F907" s="288" t="s">
        <v>3089</v>
      </c>
      <c r="G907" s="288"/>
      <c r="H907" s="296"/>
      <c r="I907" s="293"/>
      <c r="J907" s="293"/>
      <c r="K907" s="293"/>
    </row>
    <row r="908" spans="1:11">
      <c r="A908" s="287"/>
      <c r="B908" s="288" t="s">
        <v>3935</v>
      </c>
      <c r="C908" s="292" t="s">
        <v>3654</v>
      </c>
      <c r="D908" s="293">
        <v>10.210000000000001</v>
      </c>
      <c r="E908" s="293">
        <v>1.9</v>
      </c>
      <c r="F908" s="293" t="s">
        <v>2405</v>
      </c>
      <c r="G908" s="288"/>
      <c r="H908" s="296"/>
      <c r="I908" s="288"/>
      <c r="J908" s="288"/>
      <c r="K908" s="288"/>
    </row>
    <row r="909" spans="1:11">
      <c r="A909" s="287"/>
      <c r="B909" s="288" t="s">
        <v>3935</v>
      </c>
      <c r="C909" s="292" t="s">
        <v>3655</v>
      </c>
      <c r="D909" s="293">
        <v>11.73</v>
      </c>
      <c r="E909" s="293">
        <v>2.09</v>
      </c>
      <c r="F909" s="293" t="s">
        <v>3647</v>
      </c>
      <c r="G909" s="288"/>
      <c r="H909" s="296"/>
      <c r="I909" s="288"/>
      <c r="J909" s="288"/>
      <c r="K909" s="288"/>
    </row>
    <row r="910" spans="1:11">
      <c r="A910" s="287"/>
      <c r="B910" s="288" t="s">
        <v>3935</v>
      </c>
      <c r="C910" s="292" t="s">
        <v>3670</v>
      </c>
      <c r="D910" s="293">
        <v>9.5</v>
      </c>
      <c r="E910" s="293">
        <v>1.83</v>
      </c>
      <c r="F910" s="293" t="s">
        <v>2404</v>
      </c>
      <c r="G910" s="288"/>
      <c r="H910" s="296"/>
      <c r="I910" s="293"/>
      <c r="J910" s="293"/>
      <c r="K910" s="293"/>
    </row>
    <row r="911" spans="1:11">
      <c r="A911" s="287"/>
      <c r="B911" s="288" t="s">
        <v>3935</v>
      </c>
      <c r="C911" s="292" t="s">
        <v>1733</v>
      </c>
      <c r="D911" s="288" t="s">
        <v>1734</v>
      </c>
      <c r="E911" s="288" t="s">
        <v>1728</v>
      </c>
      <c r="F911" s="288" t="s">
        <v>2415</v>
      </c>
      <c r="G911" s="288"/>
      <c r="H911" s="296"/>
      <c r="I911" s="288"/>
      <c r="J911" s="288"/>
      <c r="K911" s="288"/>
    </row>
    <row r="912" spans="1:11">
      <c r="A912" s="287"/>
      <c r="B912" s="288" t="s">
        <v>3935</v>
      </c>
      <c r="C912" s="292" t="s">
        <v>1735</v>
      </c>
      <c r="D912" s="288" t="s">
        <v>1736</v>
      </c>
      <c r="E912" s="288" t="s">
        <v>1737</v>
      </c>
      <c r="F912" s="288" t="s">
        <v>355</v>
      </c>
      <c r="G912" s="288"/>
      <c r="I912" s="288"/>
      <c r="J912" s="288"/>
      <c r="K912" s="288"/>
    </row>
    <row r="913" spans="1:11">
      <c r="A913" s="287"/>
      <c r="B913" s="288" t="s">
        <v>3935</v>
      </c>
      <c r="C913" s="292" t="s">
        <v>3674</v>
      </c>
      <c r="D913" s="293">
        <v>10.1</v>
      </c>
      <c r="E913" s="293">
        <v>1.9</v>
      </c>
      <c r="F913" s="293" t="s">
        <v>3616</v>
      </c>
      <c r="G913" s="288"/>
      <c r="I913" s="288"/>
      <c r="J913" s="288"/>
      <c r="K913" s="288"/>
    </row>
    <row r="914" spans="1:11">
      <c r="A914" s="287"/>
      <c r="B914" s="288" t="s">
        <v>3935</v>
      </c>
      <c r="C914" s="292" t="s">
        <v>3675</v>
      </c>
      <c r="D914" s="293">
        <v>12.18</v>
      </c>
      <c r="E914" s="293">
        <v>3</v>
      </c>
      <c r="F914" s="288" t="s">
        <v>3676</v>
      </c>
      <c r="G914" s="288"/>
      <c r="H914" s="296"/>
      <c r="I914" s="288"/>
      <c r="J914" s="288"/>
      <c r="K914" s="288"/>
    </row>
    <row r="915" spans="1:11">
      <c r="A915" s="287"/>
      <c r="B915" s="288" t="s">
        <v>3935</v>
      </c>
      <c r="C915" s="292" t="s">
        <v>3677</v>
      </c>
      <c r="D915" s="293">
        <v>12.18</v>
      </c>
      <c r="E915" s="293">
        <v>3</v>
      </c>
      <c r="F915" s="288" t="s">
        <v>3678</v>
      </c>
      <c r="G915" s="288"/>
      <c r="I915" s="288"/>
      <c r="J915" s="288"/>
      <c r="K915" s="288"/>
    </row>
    <row r="916" spans="1:11">
      <c r="A916" s="287"/>
      <c r="B916" s="288" t="s">
        <v>3935</v>
      </c>
      <c r="C916" s="292" t="s">
        <v>3679</v>
      </c>
      <c r="D916" s="293">
        <v>17.829999999999998</v>
      </c>
      <c r="E916" s="293">
        <v>2.2000000000000002</v>
      </c>
      <c r="F916" s="293" t="s">
        <v>2435</v>
      </c>
      <c r="G916" s="293"/>
      <c r="I916" s="288"/>
      <c r="J916" s="288"/>
      <c r="K916" s="288"/>
    </row>
    <row r="917" spans="1:11">
      <c r="A917" s="287"/>
      <c r="B917" s="288" t="s">
        <v>3935</v>
      </c>
      <c r="C917" s="292" t="s">
        <v>602</v>
      </c>
      <c r="D917" s="288" t="s">
        <v>603</v>
      </c>
      <c r="E917" s="288" t="s">
        <v>1731</v>
      </c>
      <c r="F917" s="288" t="s">
        <v>1154</v>
      </c>
      <c r="G917" s="293"/>
      <c r="I917" s="288"/>
      <c r="J917" s="288"/>
      <c r="K917" s="288"/>
    </row>
    <row r="918" spans="1:11">
      <c r="A918" s="287"/>
      <c r="B918" s="288" t="s">
        <v>3935</v>
      </c>
      <c r="C918" s="292" t="s">
        <v>523</v>
      </c>
      <c r="D918" s="288" t="s">
        <v>524</v>
      </c>
      <c r="E918" s="288" t="s">
        <v>462</v>
      </c>
      <c r="F918" s="288" t="s">
        <v>2437</v>
      </c>
      <c r="G918" s="293"/>
      <c r="I918" s="293"/>
      <c r="J918" s="293"/>
      <c r="K918" s="293"/>
    </row>
    <row r="919" spans="1:11">
      <c r="A919" s="287"/>
      <c r="B919" s="288" t="s">
        <v>3935</v>
      </c>
      <c r="C919" s="292" t="s">
        <v>3683</v>
      </c>
      <c r="D919" s="293">
        <v>9.9600000000000009</v>
      </c>
      <c r="E919" s="293">
        <v>2.16</v>
      </c>
      <c r="F919" s="288" t="s">
        <v>337</v>
      </c>
      <c r="G919" s="293"/>
      <c r="I919" s="293"/>
      <c r="J919" s="293"/>
      <c r="K919" s="293"/>
    </row>
    <row r="920" spans="1:11">
      <c r="A920" s="287"/>
      <c r="B920" s="288" t="s">
        <v>3935</v>
      </c>
      <c r="C920" s="292" t="s">
        <v>590</v>
      </c>
      <c r="D920" s="288" t="s">
        <v>591</v>
      </c>
      <c r="E920" s="288" t="s">
        <v>592</v>
      </c>
      <c r="F920" s="288" t="s">
        <v>585</v>
      </c>
      <c r="G920" s="293"/>
      <c r="I920" s="288"/>
      <c r="J920" s="288"/>
      <c r="K920" s="288"/>
    </row>
    <row r="921" spans="1:11">
      <c r="A921" s="287"/>
      <c r="B921" s="288" t="s">
        <v>3935</v>
      </c>
      <c r="C921" s="292" t="s">
        <v>3684</v>
      </c>
      <c r="D921" s="288" t="s">
        <v>2060</v>
      </c>
      <c r="E921" s="293">
        <v>2.04</v>
      </c>
      <c r="F921" s="293" t="s">
        <v>2415</v>
      </c>
      <c r="G921" s="293"/>
      <c r="I921" s="288"/>
      <c r="J921" s="288"/>
      <c r="K921" s="288"/>
    </row>
    <row r="922" spans="1:11">
      <c r="A922" s="287"/>
      <c r="B922" s="288" t="s">
        <v>3935</v>
      </c>
      <c r="C922" s="292" t="s">
        <v>3036</v>
      </c>
      <c r="D922" s="293">
        <v>14.75</v>
      </c>
      <c r="E922" s="293">
        <v>2.0499999999999998</v>
      </c>
      <c r="F922" s="293" t="s">
        <v>2408</v>
      </c>
      <c r="G922" s="293"/>
      <c r="H922" s="296"/>
      <c r="I922" s="288"/>
      <c r="J922" s="288"/>
      <c r="K922" s="288"/>
    </row>
    <row r="923" spans="1:11">
      <c r="A923" s="287"/>
      <c r="B923" s="288" t="s">
        <v>3935</v>
      </c>
      <c r="C923" s="292" t="s">
        <v>3037</v>
      </c>
      <c r="D923" s="293">
        <v>9.8000000000000007</v>
      </c>
      <c r="E923" s="293">
        <v>1.65</v>
      </c>
      <c r="F923" s="293" t="s">
        <v>3616</v>
      </c>
      <c r="G923" s="293"/>
      <c r="H923" s="296"/>
      <c r="I923" s="293"/>
      <c r="J923" s="293"/>
      <c r="K923" s="293"/>
    </row>
    <row r="924" spans="1:11">
      <c r="A924" s="287"/>
      <c r="B924" s="288" t="s">
        <v>3935</v>
      </c>
      <c r="C924" s="292" t="s">
        <v>3047</v>
      </c>
      <c r="D924" s="293">
        <v>9.19</v>
      </c>
      <c r="E924" s="293">
        <v>1.4</v>
      </c>
      <c r="F924" s="293" t="s">
        <v>2404</v>
      </c>
      <c r="G924" s="288"/>
      <c r="I924" s="293"/>
      <c r="J924" s="293"/>
      <c r="K924" s="293"/>
    </row>
    <row r="925" spans="1:11">
      <c r="A925" s="287"/>
      <c r="B925" s="288" t="s">
        <v>3935</v>
      </c>
      <c r="C925" s="292" t="s">
        <v>516</v>
      </c>
      <c r="D925" s="288" t="s">
        <v>517</v>
      </c>
      <c r="E925" s="288" t="s">
        <v>518</v>
      </c>
      <c r="F925" s="288" t="s">
        <v>334</v>
      </c>
      <c r="G925" s="288"/>
      <c r="I925" s="293"/>
      <c r="J925" s="293"/>
      <c r="K925" s="293"/>
    </row>
    <row r="926" spans="1:11">
      <c r="A926" s="287"/>
      <c r="B926" s="288" t="s">
        <v>3935</v>
      </c>
      <c r="C926" s="292" t="s">
        <v>3051</v>
      </c>
      <c r="D926" s="293">
        <v>12</v>
      </c>
      <c r="E926" s="293">
        <v>1.9</v>
      </c>
      <c r="F926" s="293" t="s">
        <v>342</v>
      </c>
      <c r="G926" s="293"/>
      <c r="I926" s="288"/>
      <c r="J926" s="288"/>
      <c r="K926" s="288"/>
    </row>
    <row r="927" spans="1:11">
      <c r="A927" s="287"/>
      <c r="B927" s="288" t="s">
        <v>3935</v>
      </c>
      <c r="C927" s="292" t="s">
        <v>3073</v>
      </c>
      <c r="D927" s="293">
        <v>7.6</v>
      </c>
      <c r="E927" s="293">
        <v>1.4</v>
      </c>
      <c r="F927" s="293" t="s">
        <v>3069</v>
      </c>
      <c r="G927" s="288"/>
      <c r="H927" s="296"/>
      <c r="I927" s="288"/>
      <c r="J927" s="288"/>
      <c r="K927" s="288"/>
    </row>
    <row r="928" spans="1:11">
      <c r="A928" s="287"/>
      <c r="B928" s="288" t="s">
        <v>3935</v>
      </c>
      <c r="C928" s="292" t="s">
        <v>3074</v>
      </c>
      <c r="D928" s="293">
        <v>8.6</v>
      </c>
      <c r="E928" s="293">
        <v>2.0499999999999998</v>
      </c>
      <c r="F928" s="293" t="s">
        <v>344</v>
      </c>
      <c r="G928" s="288"/>
      <c r="H928" s="296"/>
      <c r="I928" s="288"/>
      <c r="J928" s="288"/>
      <c r="K928" s="288"/>
    </row>
    <row r="929" spans="1:11">
      <c r="A929" s="287"/>
      <c r="B929" s="288" t="s">
        <v>3935</v>
      </c>
      <c r="C929" s="292" t="s">
        <v>519</v>
      </c>
      <c r="D929" s="288" t="s">
        <v>2093</v>
      </c>
      <c r="E929" s="288" t="s">
        <v>431</v>
      </c>
      <c r="F929" s="288" t="s">
        <v>2410</v>
      </c>
      <c r="G929" s="288"/>
      <c r="H929" s="296"/>
      <c r="I929" s="293"/>
      <c r="J929" s="293"/>
      <c r="K929" s="293"/>
    </row>
    <row r="930" spans="1:11">
      <c r="A930" s="287"/>
      <c r="B930" s="288" t="s">
        <v>3935</v>
      </c>
      <c r="C930" s="292" t="s">
        <v>3075</v>
      </c>
      <c r="D930" s="293">
        <v>10.25</v>
      </c>
      <c r="E930" s="293">
        <v>2.2000000000000002</v>
      </c>
      <c r="F930" s="293" t="s">
        <v>355</v>
      </c>
      <c r="G930" s="288"/>
      <c r="I930" s="293"/>
      <c r="J930" s="293"/>
      <c r="K930" s="293"/>
    </row>
    <row r="931" spans="1:11">
      <c r="A931" s="287"/>
      <c r="B931" s="288" t="s">
        <v>3935</v>
      </c>
      <c r="C931" s="292" t="s">
        <v>3076</v>
      </c>
      <c r="D931" s="293">
        <v>7.49</v>
      </c>
      <c r="E931" s="293">
        <v>1.58</v>
      </c>
      <c r="F931" s="293" t="s">
        <v>349</v>
      </c>
      <c r="G931" s="288"/>
      <c r="I931" s="288"/>
      <c r="J931" s="288"/>
      <c r="K931" s="288"/>
    </row>
    <row r="932" spans="1:11">
      <c r="A932" s="287"/>
      <c r="B932" s="288" t="s">
        <v>3935</v>
      </c>
      <c r="C932" s="292" t="s">
        <v>3077</v>
      </c>
      <c r="D932" s="293">
        <v>7.49</v>
      </c>
      <c r="E932" s="293">
        <v>1.58</v>
      </c>
      <c r="F932" s="293" t="s">
        <v>349</v>
      </c>
      <c r="G932" s="288"/>
      <c r="I932" s="288"/>
      <c r="J932" s="288"/>
      <c r="K932" s="288"/>
    </row>
    <row r="933" spans="1:11">
      <c r="A933" s="287"/>
      <c r="B933" s="288" t="s">
        <v>3935</v>
      </c>
      <c r="C933" s="292" t="s">
        <v>3078</v>
      </c>
      <c r="D933" s="293">
        <v>14.1</v>
      </c>
      <c r="E933" s="293">
        <v>2.99</v>
      </c>
      <c r="F933" s="293" t="s">
        <v>332</v>
      </c>
      <c r="G933" s="288"/>
      <c r="H933" s="296"/>
      <c r="I933" s="288"/>
      <c r="J933" s="288"/>
      <c r="K933" s="288"/>
    </row>
    <row r="934" spans="1:11">
      <c r="A934" s="287"/>
      <c r="B934" s="288" t="s">
        <v>3935</v>
      </c>
      <c r="C934" s="292" t="s">
        <v>520</v>
      </c>
      <c r="D934" s="288" t="s">
        <v>2059</v>
      </c>
      <c r="E934" s="288" t="s">
        <v>521</v>
      </c>
      <c r="F934" s="288" t="s">
        <v>3647</v>
      </c>
      <c r="G934" s="293"/>
      <c r="H934" s="296"/>
      <c r="I934" s="288"/>
      <c r="J934" s="288"/>
      <c r="K934" s="288"/>
    </row>
    <row r="935" spans="1:11">
      <c r="A935" s="287"/>
      <c r="B935" s="288" t="s">
        <v>3935</v>
      </c>
      <c r="C935" s="292" t="s">
        <v>1143</v>
      </c>
      <c r="D935" s="293">
        <v>6.68</v>
      </c>
      <c r="E935" s="293">
        <v>1.37</v>
      </c>
      <c r="F935" s="293" t="s">
        <v>2422</v>
      </c>
      <c r="G935" s="293"/>
      <c r="I935" s="293"/>
      <c r="J935" s="293"/>
      <c r="K935" s="288"/>
    </row>
    <row r="936" spans="1:11">
      <c r="A936" s="287"/>
      <c r="B936" s="288" t="s">
        <v>3935</v>
      </c>
      <c r="C936" s="292" t="s">
        <v>1159</v>
      </c>
      <c r="D936" s="293">
        <v>9.7899999999999991</v>
      </c>
      <c r="E936" s="293">
        <v>1.9</v>
      </c>
      <c r="F936" s="293" t="s">
        <v>2418</v>
      </c>
      <c r="G936" s="288"/>
      <c r="I936" s="293"/>
      <c r="J936" s="293"/>
      <c r="K936" s="288"/>
    </row>
    <row r="937" spans="1:11">
      <c r="A937" s="287"/>
      <c r="B937" s="288" t="s">
        <v>3935</v>
      </c>
      <c r="C937" s="292" t="s">
        <v>1160</v>
      </c>
      <c r="D937" s="293">
        <v>9</v>
      </c>
      <c r="E937" s="293">
        <v>1.52</v>
      </c>
      <c r="F937" s="293" t="s">
        <v>2415</v>
      </c>
      <c r="G937" s="288"/>
      <c r="I937" s="288"/>
      <c r="J937" s="288"/>
      <c r="K937" s="288"/>
    </row>
    <row r="938" spans="1:11">
      <c r="A938" s="287"/>
      <c r="B938" s="288" t="s">
        <v>3935</v>
      </c>
      <c r="C938" s="292" t="s">
        <v>1161</v>
      </c>
      <c r="D938" s="293">
        <v>10.050000000000001</v>
      </c>
      <c r="E938" s="293">
        <v>1.39</v>
      </c>
      <c r="F938" s="288" t="s">
        <v>2422</v>
      </c>
      <c r="G938" s="288"/>
      <c r="I938" s="288"/>
      <c r="J938" s="288"/>
      <c r="K938" s="288"/>
    </row>
    <row r="939" spans="1:11">
      <c r="A939" s="287"/>
      <c r="B939" s="288" t="s">
        <v>3935</v>
      </c>
      <c r="C939" s="292" t="s">
        <v>1162</v>
      </c>
      <c r="D939" s="293">
        <v>7.26</v>
      </c>
      <c r="E939" s="293">
        <v>1.1000000000000001</v>
      </c>
      <c r="F939" s="293" t="s">
        <v>2415</v>
      </c>
      <c r="G939" s="293"/>
      <c r="H939" s="296"/>
      <c r="I939" s="293"/>
      <c r="J939" s="293"/>
      <c r="K939" s="293"/>
    </row>
    <row r="940" spans="1:11">
      <c r="A940" s="287"/>
      <c r="B940" s="288" t="s">
        <v>3935</v>
      </c>
      <c r="C940" s="292" t="s">
        <v>1166</v>
      </c>
      <c r="D940" s="293">
        <v>8.9</v>
      </c>
      <c r="E940" s="293">
        <v>1.78</v>
      </c>
      <c r="F940" s="288" t="s">
        <v>2435</v>
      </c>
      <c r="G940" s="293"/>
      <c r="H940" s="296"/>
      <c r="I940" s="288"/>
      <c r="J940" s="288"/>
      <c r="K940" s="288"/>
    </row>
    <row r="941" spans="1:11">
      <c r="A941" s="287"/>
      <c r="B941" s="288" t="s">
        <v>3935</v>
      </c>
      <c r="C941" s="292" t="s">
        <v>1167</v>
      </c>
      <c r="D941" s="293">
        <v>8.5</v>
      </c>
      <c r="E941" s="293">
        <v>2</v>
      </c>
      <c r="F941" s="288" t="s">
        <v>344</v>
      </c>
      <c r="G941" s="293"/>
      <c r="I941" s="288"/>
      <c r="J941" s="288"/>
      <c r="K941" s="288"/>
    </row>
    <row r="942" spans="1:11">
      <c r="A942" s="287"/>
      <c r="B942" s="288" t="s">
        <v>3935</v>
      </c>
      <c r="C942" s="292" t="s">
        <v>810</v>
      </c>
      <c r="D942" s="293">
        <v>9.2899999999999991</v>
      </c>
      <c r="E942" s="293">
        <v>1.35</v>
      </c>
      <c r="F942" s="293" t="s">
        <v>2439</v>
      </c>
      <c r="G942" s="288"/>
      <c r="I942" s="288"/>
      <c r="J942" s="288"/>
      <c r="K942" s="288"/>
    </row>
    <row r="943" spans="1:11">
      <c r="A943" s="287"/>
      <c r="B943" s="288" t="s">
        <v>3935</v>
      </c>
      <c r="C943" s="292" t="s">
        <v>1173</v>
      </c>
      <c r="D943" s="288" t="s">
        <v>2085</v>
      </c>
      <c r="E943" s="293">
        <v>1.52</v>
      </c>
      <c r="F943" s="288" t="s">
        <v>2418</v>
      </c>
      <c r="G943" s="288"/>
      <c r="H943" s="296"/>
      <c r="I943" s="293"/>
      <c r="J943" s="293"/>
      <c r="K943" s="293"/>
    </row>
    <row r="944" spans="1:11">
      <c r="A944" s="287"/>
      <c r="B944" s="288" t="s">
        <v>3935</v>
      </c>
      <c r="C944" s="292" t="s">
        <v>532</v>
      </c>
      <c r="D944" s="288" t="s">
        <v>533</v>
      </c>
      <c r="E944" s="288" t="s">
        <v>513</v>
      </c>
      <c r="F944" s="288" t="s">
        <v>2590</v>
      </c>
      <c r="G944" s="288"/>
      <c r="I944" s="288"/>
      <c r="J944" s="288"/>
      <c r="K944" s="288"/>
    </row>
    <row r="945" spans="1:11">
      <c r="A945" s="287" t="s">
        <v>2407</v>
      </c>
      <c r="B945" s="288" t="s">
        <v>3935</v>
      </c>
      <c r="C945" s="292" t="s">
        <v>1176</v>
      </c>
      <c r="D945" s="288" t="s">
        <v>2087</v>
      </c>
      <c r="E945" s="293">
        <v>1.4</v>
      </c>
      <c r="F945" s="293" t="s">
        <v>2422</v>
      </c>
      <c r="G945" s="293"/>
      <c r="I945" s="288"/>
      <c r="J945" s="288"/>
      <c r="K945" s="288"/>
    </row>
    <row r="946" spans="1:11">
      <c r="A946" s="287"/>
      <c r="B946" s="288" t="s">
        <v>3935</v>
      </c>
      <c r="C946" s="292" t="s">
        <v>1177</v>
      </c>
      <c r="D946" s="293">
        <v>10.050000000000001</v>
      </c>
      <c r="E946" s="293">
        <v>1.5</v>
      </c>
      <c r="F946" s="293" t="s">
        <v>355</v>
      </c>
      <c r="G946" s="293"/>
      <c r="I946" s="288"/>
      <c r="J946" s="288"/>
      <c r="K946" s="288"/>
    </row>
    <row r="947" spans="1:11">
      <c r="A947" s="287"/>
      <c r="B947" s="288" t="s">
        <v>3935</v>
      </c>
      <c r="C947" s="292" t="s">
        <v>1178</v>
      </c>
      <c r="D947" s="293">
        <v>7.7</v>
      </c>
      <c r="E947" s="293">
        <v>1.5</v>
      </c>
      <c r="F947" s="293" t="s">
        <v>349</v>
      </c>
      <c r="G947" s="288"/>
      <c r="H947" s="296"/>
      <c r="I947" s="288"/>
      <c r="J947" s="288"/>
      <c r="K947" s="288"/>
    </row>
    <row r="948" spans="1:11">
      <c r="A948" s="287"/>
      <c r="B948" s="288" t="s">
        <v>3935</v>
      </c>
      <c r="C948" s="292" t="s">
        <v>1179</v>
      </c>
      <c r="D948" s="293">
        <v>7.93</v>
      </c>
      <c r="E948" s="293">
        <v>1.7</v>
      </c>
      <c r="F948" s="288" t="s">
        <v>337</v>
      </c>
      <c r="G948" s="288"/>
      <c r="I948" s="293"/>
      <c r="J948" s="293"/>
      <c r="K948" s="293"/>
    </row>
    <row r="949" spans="1:11">
      <c r="A949" s="287"/>
      <c r="B949" s="288" t="s">
        <v>3935</v>
      </c>
      <c r="C949" s="292" t="s">
        <v>1199</v>
      </c>
      <c r="D949" s="288" t="s">
        <v>2095</v>
      </c>
      <c r="E949" s="293">
        <v>1.79</v>
      </c>
      <c r="F949" s="293" t="s">
        <v>3638</v>
      </c>
      <c r="G949" s="288"/>
      <c r="I949" s="288"/>
      <c r="J949" s="288"/>
      <c r="K949" s="288"/>
    </row>
    <row r="950" spans="1:11">
      <c r="A950" s="287" t="s">
        <v>2407</v>
      </c>
      <c r="B950" s="288" t="s">
        <v>3935</v>
      </c>
      <c r="C950" s="292" t="s">
        <v>4224</v>
      </c>
      <c r="D950" s="288" t="s">
        <v>2115</v>
      </c>
      <c r="E950" s="293">
        <v>0.76</v>
      </c>
      <c r="F950" s="293" t="s">
        <v>330</v>
      </c>
      <c r="G950" s="288"/>
      <c r="I950" s="293"/>
      <c r="J950" s="293"/>
      <c r="K950" s="293"/>
    </row>
    <row r="951" spans="1:11">
      <c r="A951" s="287"/>
      <c r="B951" s="288" t="s">
        <v>3935</v>
      </c>
      <c r="C951" s="292" t="s">
        <v>4225</v>
      </c>
      <c r="D951" s="288" t="s">
        <v>2116</v>
      </c>
      <c r="E951" s="293">
        <v>2.2999999999999998</v>
      </c>
      <c r="F951" s="288" t="s">
        <v>2427</v>
      </c>
      <c r="G951" s="293"/>
      <c r="I951" s="288"/>
      <c r="J951" s="288"/>
      <c r="K951" s="288"/>
    </row>
    <row r="952" spans="1:11">
      <c r="A952" s="287"/>
      <c r="B952" s="288" t="s">
        <v>3935</v>
      </c>
      <c r="C952" s="292" t="s">
        <v>4226</v>
      </c>
      <c r="D952" s="288" t="s">
        <v>2117</v>
      </c>
      <c r="E952" s="293">
        <v>1.2</v>
      </c>
      <c r="F952" s="293" t="s">
        <v>4227</v>
      </c>
      <c r="G952" s="293"/>
      <c r="H952" s="296"/>
      <c r="I952" s="288"/>
      <c r="J952" s="288"/>
      <c r="K952" s="288"/>
    </row>
    <row r="953" spans="1:11">
      <c r="A953" s="287"/>
      <c r="B953" s="288" t="s">
        <v>3935</v>
      </c>
      <c r="C953" s="292" t="s">
        <v>4228</v>
      </c>
      <c r="D953" s="293">
        <v>7.64</v>
      </c>
      <c r="E953" s="293">
        <v>1.2</v>
      </c>
      <c r="F953" s="293" t="s">
        <v>4227</v>
      </c>
      <c r="G953" s="288"/>
      <c r="I953" s="293"/>
      <c r="J953" s="293"/>
      <c r="K953" s="293"/>
    </row>
    <row r="954" spans="1:11">
      <c r="A954" s="287"/>
      <c r="B954" s="288" t="s">
        <v>3935</v>
      </c>
      <c r="C954" s="292" t="s">
        <v>4229</v>
      </c>
      <c r="D954" s="293">
        <v>7.86</v>
      </c>
      <c r="E954" s="293">
        <v>1.21</v>
      </c>
      <c r="F954" s="293" t="s">
        <v>336</v>
      </c>
      <c r="G954" s="288"/>
      <c r="H954" s="296"/>
      <c r="I954" s="288"/>
      <c r="J954" s="288"/>
      <c r="K954" s="288"/>
    </row>
    <row r="955" spans="1:11">
      <c r="A955" s="287"/>
      <c r="B955" s="288" t="s">
        <v>3935</v>
      </c>
      <c r="C955" s="292" t="s">
        <v>4230</v>
      </c>
      <c r="D955" s="293">
        <v>8.27</v>
      </c>
      <c r="E955" s="293">
        <v>1.66</v>
      </c>
      <c r="F955" s="293" t="s">
        <v>328</v>
      </c>
      <c r="G955" s="293"/>
      <c r="I955" s="288"/>
      <c r="J955" s="288"/>
      <c r="K955" s="288"/>
    </row>
    <row r="956" spans="1:11">
      <c r="A956" s="287"/>
      <c r="B956" s="288" t="s">
        <v>3935</v>
      </c>
      <c r="C956" s="292" t="s">
        <v>4231</v>
      </c>
      <c r="D956" s="293">
        <v>8.27</v>
      </c>
      <c r="E956" s="293">
        <v>1.76</v>
      </c>
      <c r="F956" s="293" t="s">
        <v>328</v>
      </c>
      <c r="G956" s="288"/>
      <c r="I956" s="288"/>
      <c r="J956" s="288"/>
      <c r="K956" s="288"/>
    </row>
    <row r="957" spans="1:11">
      <c r="A957" s="287"/>
      <c r="B957" s="288" t="s">
        <v>3935</v>
      </c>
      <c r="C957" s="292" t="s">
        <v>811</v>
      </c>
      <c r="D957" s="293">
        <v>6.71</v>
      </c>
      <c r="E957" s="293">
        <v>1.44</v>
      </c>
      <c r="F957" s="293" t="s">
        <v>3616</v>
      </c>
      <c r="G957" s="288"/>
      <c r="H957" s="296"/>
      <c r="I957" s="293"/>
      <c r="J957" s="293"/>
      <c r="K957" s="293"/>
    </row>
    <row r="958" spans="1:11">
      <c r="A958" s="287"/>
      <c r="B958" s="288" t="s">
        <v>3935</v>
      </c>
      <c r="C958" s="292" t="s">
        <v>4232</v>
      </c>
      <c r="D958" s="293">
        <v>11.03</v>
      </c>
      <c r="E958" s="293">
        <v>1.97</v>
      </c>
      <c r="F958" s="293" t="s">
        <v>342</v>
      </c>
      <c r="G958" s="288"/>
      <c r="I958" s="288"/>
      <c r="J958" s="288"/>
      <c r="K958" s="288"/>
    </row>
    <row r="959" spans="1:11">
      <c r="A959" s="287"/>
      <c r="B959" s="288" t="s">
        <v>3935</v>
      </c>
      <c r="C959" s="292" t="s">
        <v>4233</v>
      </c>
      <c r="D959" s="288" t="s">
        <v>2118</v>
      </c>
      <c r="E959" s="293">
        <v>1.95</v>
      </c>
      <c r="F959" s="293" t="s">
        <v>3647</v>
      </c>
      <c r="G959" s="293"/>
      <c r="I959" s="288"/>
      <c r="J959" s="288"/>
      <c r="K959" s="288"/>
    </row>
    <row r="960" spans="1:11">
      <c r="A960" s="287"/>
      <c r="B960" s="288" t="s">
        <v>3935</v>
      </c>
      <c r="C960" s="292" t="s">
        <v>4234</v>
      </c>
      <c r="D960" s="293">
        <v>11.04</v>
      </c>
      <c r="E960" s="293">
        <v>2.08</v>
      </c>
      <c r="F960" s="293" t="s">
        <v>3616</v>
      </c>
      <c r="G960" s="288"/>
      <c r="I960" s="288"/>
      <c r="J960" s="288"/>
      <c r="K960" s="288"/>
    </row>
    <row r="961" spans="1:11">
      <c r="A961" s="287"/>
      <c r="B961" s="288" t="s">
        <v>3935</v>
      </c>
      <c r="C961" s="292" t="s">
        <v>4235</v>
      </c>
      <c r="D961" s="293">
        <v>11.04</v>
      </c>
      <c r="E961" s="293">
        <v>2.0499999999999998</v>
      </c>
      <c r="F961" s="293" t="s">
        <v>3616</v>
      </c>
      <c r="G961" s="288"/>
      <c r="H961" s="296"/>
      <c r="I961" s="288"/>
      <c r="J961" s="288"/>
      <c r="K961" s="288"/>
    </row>
    <row r="962" spans="1:11">
      <c r="A962" s="287"/>
      <c r="B962" s="288" t="s">
        <v>3935</v>
      </c>
      <c r="C962" s="292" t="s">
        <v>812</v>
      </c>
      <c r="D962" s="288" t="s">
        <v>2120</v>
      </c>
      <c r="E962" s="293">
        <v>1.6</v>
      </c>
      <c r="F962" s="293" t="s">
        <v>3616</v>
      </c>
      <c r="G962" s="288"/>
      <c r="I962" s="288"/>
      <c r="J962" s="288"/>
      <c r="K962" s="288"/>
    </row>
    <row r="963" spans="1:11">
      <c r="A963" s="287"/>
      <c r="B963" s="288" t="s">
        <v>3935</v>
      </c>
      <c r="C963" s="292" t="s">
        <v>4238</v>
      </c>
      <c r="D963" s="293">
        <v>11.3</v>
      </c>
      <c r="E963" s="293">
        <v>2.1</v>
      </c>
      <c r="F963" s="288" t="s">
        <v>328</v>
      </c>
      <c r="G963" s="288"/>
      <c r="I963" s="288"/>
      <c r="J963" s="288"/>
      <c r="K963" s="288"/>
    </row>
    <row r="964" spans="1:11">
      <c r="A964" s="287"/>
      <c r="B964" s="288" t="s">
        <v>3935</v>
      </c>
      <c r="C964" s="292" t="s">
        <v>4248</v>
      </c>
      <c r="D964" s="293">
        <v>10.199999999999999</v>
      </c>
      <c r="E964" s="293">
        <v>2</v>
      </c>
      <c r="F964" s="288" t="s">
        <v>364</v>
      </c>
      <c r="G964" s="293"/>
      <c r="I964" s="288"/>
      <c r="J964" s="288"/>
      <c r="K964" s="288"/>
    </row>
    <row r="965" spans="1:11">
      <c r="A965" s="287"/>
      <c r="B965" s="288" t="s">
        <v>3935</v>
      </c>
      <c r="C965" s="292" t="s">
        <v>4253</v>
      </c>
      <c r="D965" s="293">
        <v>10</v>
      </c>
      <c r="E965" s="293">
        <v>1.8</v>
      </c>
      <c r="F965" s="293" t="s">
        <v>350</v>
      </c>
      <c r="G965" s="288"/>
      <c r="I965" s="288"/>
      <c r="J965" s="288"/>
      <c r="K965" s="288"/>
    </row>
    <row r="966" spans="1:11">
      <c r="A966" s="287"/>
      <c r="B966" s="288" t="s">
        <v>3935</v>
      </c>
      <c r="C966" s="292" t="s">
        <v>4258</v>
      </c>
      <c r="D966" s="293">
        <v>9.5399999999999991</v>
      </c>
      <c r="E966" s="293">
        <v>2.0499999999999998</v>
      </c>
      <c r="F966" s="293" t="s">
        <v>366</v>
      </c>
      <c r="G966" s="293"/>
      <c r="I966" s="288"/>
      <c r="J966" s="288"/>
      <c r="K966" s="288"/>
    </row>
    <row r="967" spans="1:11">
      <c r="A967" s="287"/>
      <c r="B967" s="288" t="s">
        <v>3935</v>
      </c>
      <c r="C967" s="292" t="s">
        <v>4259</v>
      </c>
      <c r="D967" s="293">
        <v>15.85</v>
      </c>
      <c r="E967" s="293">
        <v>2.85</v>
      </c>
      <c r="F967" s="293" t="s">
        <v>376</v>
      </c>
      <c r="G967" s="288"/>
      <c r="I967" s="288"/>
      <c r="J967" s="288"/>
      <c r="K967" s="288"/>
    </row>
    <row r="968" spans="1:11">
      <c r="A968" s="287"/>
      <c r="B968" s="288" t="s">
        <v>3935</v>
      </c>
      <c r="C968" s="292" t="s">
        <v>4260</v>
      </c>
      <c r="D968" s="293">
        <v>8.2799999999999994</v>
      </c>
      <c r="E968" s="293">
        <v>1.3</v>
      </c>
      <c r="F968" s="293" t="s">
        <v>336</v>
      </c>
      <c r="G968" s="288"/>
      <c r="I968" s="288"/>
      <c r="J968" s="288"/>
      <c r="K968" s="288"/>
    </row>
    <row r="969" spans="1:11">
      <c r="A969" s="287"/>
      <c r="B969" s="288" t="s">
        <v>3935</v>
      </c>
      <c r="C969" s="292" t="s">
        <v>4143</v>
      </c>
      <c r="D969" s="293">
        <v>9.35</v>
      </c>
      <c r="E969" s="293">
        <v>1.79</v>
      </c>
      <c r="F969" s="293" t="s">
        <v>2418</v>
      </c>
      <c r="G969" s="293"/>
      <c r="I969" s="288"/>
      <c r="J969" s="288"/>
      <c r="K969" s="288"/>
    </row>
    <row r="970" spans="1:11">
      <c r="A970" s="287"/>
      <c r="B970" s="288" t="s">
        <v>3935</v>
      </c>
      <c r="C970" s="292" t="s">
        <v>554</v>
      </c>
      <c r="D970" s="288" t="s">
        <v>555</v>
      </c>
      <c r="E970" s="288" t="s">
        <v>556</v>
      </c>
      <c r="F970" s="288" t="s">
        <v>366</v>
      </c>
      <c r="G970" s="288"/>
      <c r="I970" s="288"/>
      <c r="J970" s="288"/>
      <c r="K970" s="288"/>
    </row>
    <row r="971" spans="1:11">
      <c r="A971" s="287"/>
      <c r="B971" s="288" t="s">
        <v>3935</v>
      </c>
      <c r="C971" s="292" t="s">
        <v>4144</v>
      </c>
      <c r="D971" s="293">
        <v>9.25</v>
      </c>
      <c r="E971" s="293">
        <v>1.76</v>
      </c>
      <c r="F971" s="293" t="s">
        <v>3668</v>
      </c>
      <c r="G971" s="288"/>
      <c r="I971" s="288"/>
      <c r="J971" s="288"/>
      <c r="K971" s="288"/>
    </row>
    <row r="972" spans="1:11">
      <c r="A972" s="287"/>
      <c r="B972" s="288" t="s">
        <v>3935</v>
      </c>
      <c r="C972" s="292" t="s">
        <v>2135</v>
      </c>
      <c r="D972" s="288" t="s">
        <v>2136</v>
      </c>
      <c r="E972" s="293">
        <v>1.95</v>
      </c>
      <c r="F972" s="288" t="s">
        <v>2408</v>
      </c>
      <c r="G972" s="288"/>
      <c r="I972" s="288"/>
      <c r="J972" s="288"/>
      <c r="K972" s="288"/>
    </row>
    <row r="973" spans="1:11">
      <c r="A973" s="287"/>
      <c r="B973" s="288" t="s">
        <v>3935</v>
      </c>
      <c r="C973" s="292" t="s">
        <v>4145</v>
      </c>
      <c r="D973" s="288" t="s">
        <v>2137</v>
      </c>
      <c r="E973" s="293">
        <v>2.0299999999999998</v>
      </c>
      <c r="F973" s="293" t="s">
        <v>3638</v>
      </c>
      <c r="G973" s="293"/>
      <c r="I973" s="288"/>
      <c r="J973" s="288"/>
      <c r="K973" s="288"/>
    </row>
    <row r="974" spans="1:11">
      <c r="A974" s="287"/>
      <c r="B974" s="288" t="s">
        <v>3935</v>
      </c>
      <c r="C974" s="292" t="s">
        <v>4146</v>
      </c>
      <c r="D974" s="288" t="s">
        <v>2138</v>
      </c>
      <c r="E974" s="293">
        <v>1.6</v>
      </c>
      <c r="F974" s="293" t="s">
        <v>350</v>
      </c>
      <c r="G974" s="288"/>
      <c r="I974" s="288"/>
      <c r="J974" s="288"/>
      <c r="K974" s="288"/>
    </row>
    <row r="975" spans="1:11">
      <c r="A975" s="287"/>
      <c r="B975" s="288" t="s">
        <v>3935</v>
      </c>
      <c r="C975" s="292" t="s">
        <v>4147</v>
      </c>
      <c r="D975" s="293">
        <v>13.03</v>
      </c>
      <c r="E975" s="288" t="s">
        <v>327</v>
      </c>
      <c r="F975" s="293" t="s">
        <v>349</v>
      </c>
      <c r="G975" s="288"/>
      <c r="I975" s="288"/>
      <c r="J975" s="288"/>
      <c r="K975" s="288"/>
    </row>
    <row r="976" spans="1:11">
      <c r="A976" s="287"/>
      <c r="B976" s="288" t="s">
        <v>3935</v>
      </c>
      <c r="C976" s="292" t="s">
        <v>4148</v>
      </c>
      <c r="D976" s="293">
        <v>12.49</v>
      </c>
      <c r="E976" s="293">
        <v>2.35</v>
      </c>
      <c r="F976" s="293" t="s">
        <v>3616</v>
      </c>
      <c r="G976" s="288"/>
      <c r="I976" s="288"/>
      <c r="J976" s="288"/>
      <c r="K976" s="288"/>
    </row>
    <row r="977" spans="1:11">
      <c r="A977" s="287"/>
      <c r="B977" s="288" t="s">
        <v>3935</v>
      </c>
      <c r="C977" s="292" t="s">
        <v>4149</v>
      </c>
      <c r="D977" s="293">
        <v>10.64</v>
      </c>
      <c r="E977" s="293">
        <v>2.2000000000000002</v>
      </c>
      <c r="F977" s="293" t="s">
        <v>2404</v>
      </c>
      <c r="G977" s="288"/>
      <c r="I977" s="288"/>
      <c r="J977" s="288"/>
      <c r="K977" s="288"/>
    </row>
    <row r="978" spans="1:11">
      <c r="A978" s="287"/>
      <c r="B978" s="288" t="s">
        <v>3935</v>
      </c>
      <c r="C978" s="292" t="s">
        <v>4167</v>
      </c>
      <c r="D978" s="293">
        <v>9.16</v>
      </c>
      <c r="E978" s="293">
        <v>1.8</v>
      </c>
      <c r="F978" s="288" t="s">
        <v>344</v>
      </c>
      <c r="G978" s="288"/>
      <c r="I978" s="288"/>
      <c r="J978" s="288"/>
      <c r="K978" s="288"/>
    </row>
    <row r="979" spans="1:11">
      <c r="A979" s="287"/>
      <c r="B979" s="288" t="s">
        <v>3935</v>
      </c>
      <c r="C979" s="292" t="s">
        <v>4168</v>
      </c>
      <c r="D979" s="293">
        <v>8.39</v>
      </c>
      <c r="E979" s="293">
        <v>1.68</v>
      </c>
      <c r="F979" s="293" t="s">
        <v>350</v>
      </c>
      <c r="G979" s="288"/>
      <c r="I979" s="288"/>
      <c r="J979" s="288"/>
      <c r="K979" s="288"/>
    </row>
    <row r="980" spans="1:11">
      <c r="A980" s="287"/>
      <c r="B980" s="288" t="s">
        <v>3935</v>
      </c>
      <c r="C980" s="292" t="s">
        <v>4171</v>
      </c>
      <c r="D980" s="293">
        <v>6.65</v>
      </c>
      <c r="E980" s="293">
        <v>1.45</v>
      </c>
      <c r="F980" s="293" t="s">
        <v>2422</v>
      </c>
      <c r="G980" s="288"/>
      <c r="I980" s="293"/>
      <c r="J980" s="293"/>
      <c r="K980" s="293"/>
    </row>
    <row r="981" spans="1:11">
      <c r="A981" s="287"/>
      <c r="B981" s="288" t="s">
        <v>3935</v>
      </c>
      <c r="C981" s="292" t="s">
        <v>4172</v>
      </c>
      <c r="D981" s="293">
        <v>6.4</v>
      </c>
      <c r="E981" s="293">
        <v>1.5</v>
      </c>
      <c r="F981" s="293" t="s">
        <v>2408</v>
      </c>
      <c r="G981" s="288"/>
      <c r="I981" s="288"/>
      <c r="J981" s="288"/>
      <c r="K981" s="288"/>
    </row>
    <row r="982" spans="1:11">
      <c r="A982" s="287"/>
      <c r="B982" s="288" t="s">
        <v>3935</v>
      </c>
      <c r="C982" s="292" t="s">
        <v>4338</v>
      </c>
      <c r="D982" s="288" t="s">
        <v>2106</v>
      </c>
      <c r="E982" s="293">
        <v>1.9</v>
      </c>
      <c r="F982" s="288" t="s">
        <v>4339</v>
      </c>
      <c r="G982" s="288"/>
      <c r="I982" s="288"/>
      <c r="J982" s="288"/>
      <c r="K982" s="288"/>
    </row>
    <row r="983" spans="1:11">
      <c r="A983" s="287"/>
      <c r="B983" s="288" t="s">
        <v>3935</v>
      </c>
      <c r="C983" s="292" t="s">
        <v>557</v>
      </c>
      <c r="D983" s="288" t="s">
        <v>1323</v>
      </c>
      <c r="E983" s="288" t="s">
        <v>558</v>
      </c>
      <c r="F983" s="288" t="s">
        <v>2418</v>
      </c>
      <c r="G983" s="288"/>
      <c r="I983" s="288"/>
      <c r="J983" s="288"/>
      <c r="K983" s="288"/>
    </row>
    <row r="984" spans="1:11">
      <c r="A984" s="287"/>
      <c r="B984" s="288" t="s">
        <v>3935</v>
      </c>
      <c r="C984" s="292" t="s">
        <v>4340</v>
      </c>
      <c r="D984" s="293">
        <v>9.24</v>
      </c>
      <c r="E984" s="293">
        <v>1.7</v>
      </c>
      <c r="F984" s="293" t="s">
        <v>2437</v>
      </c>
      <c r="G984" s="288"/>
      <c r="H984" s="296"/>
      <c r="I984" s="288"/>
      <c r="J984" s="288"/>
      <c r="K984" s="288"/>
    </row>
    <row r="985" spans="1:11">
      <c r="A985" s="287"/>
      <c r="B985" s="288" t="s">
        <v>3935</v>
      </c>
      <c r="C985" s="292" t="s">
        <v>4345</v>
      </c>
      <c r="D985" s="293">
        <v>9.1300000000000008</v>
      </c>
      <c r="E985" s="293">
        <v>2.13</v>
      </c>
      <c r="F985" s="293" t="s">
        <v>332</v>
      </c>
      <c r="G985" s="288"/>
      <c r="I985" s="293"/>
      <c r="J985" s="293"/>
      <c r="K985" s="293"/>
    </row>
    <row r="986" spans="1:11">
      <c r="A986" s="287"/>
      <c r="B986" s="288" t="s">
        <v>3935</v>
      </c>
      <c r="C986" s="292" t="s">
        <v>4349</v>
      </c>
      <c r="D986" s="293">
        <v>12.18</v>
      </c>
      <c r="E986" s="293">
        <v>2.5</v>
      </c>
      <c r="F986" s="288" t="s">
        <v>344</v>
      </c>
      <c r="G986" s="288"/>
      <c r="I986" s="293"/>
      <c r="J986" s="293"/>
      <c r="K986" s="293"/>
    </row>
    <row r="987" spans="1:11">
      <c r="A987" s="287"/>
      <c r="B987" s="288" t="s">
        <v>3935</v>
      </c>
      <c r="C987" s="292" t="s">
        <v>4350</v>
      </c>
      <c r="D987" s="293">
        <v>12.18</v>
      </c>
      <c r="E987" s="293">
        <v>3</v>
      </c>
      <c r="F987" s="288" t="s">
        <v>344</v>
      </c>
      <c r="G987" s="288"/>
      <c r="I987" s="293"/>
      <c r="J987" s="293"/>
      <c r="K987" s="293"/>
    </row>
    <row r="988" spans="1:11">
      <c r="A988" s="287"/>
      <c r="B988" s="288" t="s">
        <v>3935</v>
      </c>
      <c r="C988" s="292" t="s">
        <v>4351</v>
      </c>
      <c r="D988" s="293">
        <v>9</v>
      </c>
      <c r="E988" s="293">
        <v>2.08</v>
      </c>
      <c r="F988" s="288" t="s">
        <v>334</v>
      </c>
      <c r="G988" s="288"/>
      <c r="I988" s="293"/>
      <c r="J988" s="293"/>
      <c r="K988" s="293"/>
    </row>
    <row r="989" spans="1:11">
      <c r="A989" s="287"/>
      <c r="B989" s="288" t="s">
        <v>3935</v>
      </c>
      <c r="C989" s="292" t="s">
        <v>4801</v>
      </c>
      <c r="D989" s="288" t="s">
        <v>4802</v>
      </c>
      <c r="E989" s="288" t="s">
        <v>1725</v>
      </c>
      <c r="F989" s="288" t="s">
        <v>2143</v>
      </c>
      <c r="G989" s="288"/>
      <c r="H989" s="296"/>
      <c r="I989" s="288"/>
      <c r="J989" s="288"/>
      <c r="K989" s="288"/>
    </row>
    <row r="990" spans="1:11">
      <c r="A990" s="287"/>
      <c r="B990" s="288" t="s">
        <v>3935</v>
      </c>
      <c r="C990" s="292" t="s">
        <v>4352</v>
      </c>
      <c r="D990" s="288" t="s">
        <v>2104</v>
      </c>
      <c r="E990" s="293">
        <v>1.87</v>
      </c>
      <c r="F990" s="293" t="s">
        <v>2418</v>
      </c>
      <c r="G990" s="288"/>
      <c r="H990" s="296"/>
      <c r="I990" s="288"/>
      <c r="J990" s="288"/>
      <c r="K990" s="288"/>
    </row>
    <row r="991" spans="1:11">
      <c r="A991" s="287"/>
      <c r="B991" s="288" t="s">
        <v>3935</v>
      </c>
      <c r="C991" s="292" t="s">
        <v>4353</v>
      </c>
      <c r="D991" s="293">
        <v>8.5</v>
      </c>
      <c r="E991" s="293">
        <v>1.62</v>
      </c>
      <c r="F991" s="293" t="s">
        <v>3668</v>
      </c>
      <c r="G991" s="288"/>
      <c r="H991" s="296"/>
      <c r="I991" s="288"/>
      <c r="J991" s="288"/>
      <c r="K991" s="288"/>
    </row>
    <row r="992" spans="1:11">
      <c r="A992" s="287"/>
      <c r="B992" s="288" t="s">
        <v>3935</v>
      </c>
      <c r="C992" s="292" t="s">
        <v>3460</v>
      </c>
      <c r="D992" s="293">
        <v>9.91</v>
      </c>
      <c r="E992" s="293">
        <v>1.73</v>
      </c>
      <c r="F992" s="293" t="s">
        <v>3618</v>
      </c>
      <c r="G992" s="288"/>
      <c r="H992" s="296"/>
      <c r="I992" s="288"/>
      <c r="J992" s="288"/>
      <c r="K992" s="288"/>
    </row>
    <row r="993" spans="1:11">
      <c r="A993" s="287"/>
      <c r="B993" s="288" t="s">
        <v>3935</v>
      </c>
      <c r="C993" s="292" t="s">
        <v>3463</v>
      </c>
      <c r="D993" s="293">
        <v>13.07</v>
      </c>
      <c r="E993" s="293">
        <v>2.8</v>
      </c>
      <c r="F993" s="288" t="s">
        <v>2427</v>
      </c>
      <c r="G993" s="288"/>
      <c r="I993" s="288"/>
      <c r="J993" s="288"/>
      <c r="K993" s="288"/>
    </row>
    <row r="994" spans="1:11">
      <c r="A994" s="287"/>
      <c r="B994" s="288" t="s">
        <v>3935</v>
      </c>
      <c r="C994" s="292" t="s">
        <v>3467</v>
      </c>
      <c r="D994" s="293">
        <v>15.78</v>
      </c>
      <c r="E994" s="293">
        <v>3</v>
      </c>
      <c r="F994" s="288" t="s">
        <v>2413</v>
      </c>
      <c r="G994" s="288"/>
      <c r="I994" s="293"/>
      <c r="J994" s="293"/>
      <c r="K994" s="293"/>
    </row>
    <row r="995" spans="1:11">
      <c r="A995" s="287"/>
      <c r="B995" s="288" t="s">
        <v>3935</v>
      </c>
      <c r="C995" s="292" t="s">
        <v>3478</v>
      </c>
      <c r="D995" s="293">
        <v>6.75</v>
      </c>
      <c r="E995" s="293">
        <v>1.5</v>
      </c>
      <c r="F995" s="293" t="s">
        <v>350</v>
      </c>
      <c r="G995" s="288"/>
      <c r="I995" s="293"/>
      <c r="J995" s="293"/>
      <c r="K995" s="293"/>
    </row>
    <row r="996" spans="1:11">
      <c r="A996" s="287"/>
      <c r="B996" s="288" t="s">
        <v>3935</v>
      </c>
      <c r="C996" s="292" t="s">
        <v>3479</v>
      </c>
      <c r="D996" s="293">
        <v>11.46</v>
      </c>
      <c r="E996" s="293">
        <v>1.9</v>
      </c>
      <c r="F996" s="288" t="s">
        <v>2412</v>
      </c>
      <c r="G996" s="293"/>
      <c r="I996" s="293"/>
      <c r="J996" s="293"/>
      <c r="K996" s="293"/>
    </row>
    <row r="997" spans="1:11">
      <c r="A997" s="287"/>
      <c r="B997" s="288" t="s">
        <v>3935</v>
      </c>
      <c r="C997" s="292" t="s">
        <v>3480</v>
      </c>
      <c r="D997" s="293">
        <v>9.2200000000000006</v>
      </c>
      <c r="E997" s="293">
        <v>1.75</v>
      </c>
      <c r="F997" s="288" t="s">
        <v>334</v>
      </c>
      <c r="G997" s="288"/>
      <c r="I997" s="288"/>
      <c r="J997" s="288"/>
      <c r="K997" s="288"/>
    </row>
    <row r="998" spans="1:11">
      <c r="A998" s="287"/>
      <c r="B998" s="288" t="s">
        <v>3935</v>
      </c>
      <c r="C998" s="292" t="s">
        <v>3481</v>
      </c>
      <c r="D998" s="293">
        <v>6.83</v>
      </c>
      <c r="E998" s="293">
        <v>1.8</v>
      </c>
      <c r="F998" s="288" t="s">
        <v>334</v>
      </c>
      <c r="G998" s="288"/>
      <c r="H998" s="296"/>
      <c r="I998" s="288"/>
      <c r="J998" s="288"/>
      <c r="K998" s="288"/>
    </row>
    <row r="999" spans="1:11">
      <c r="A999" s="287"/>
      <c r="B999" s="288" t="s">
        <v>3935</v>
      </c>
      <c r="C999" s="292" t="s">
        <v>3482</v>
      </c>
      <c r="D999" s="293">
        <v>14.82</v>
      </c>
      <c r="E999" s="293">
        <v>2.39</v>
      </c>
      <c r="F999" s="293" t="s">
        <v>332</v>
      </c>
      <c r="G999" s="288"/>
      <c r="H999" s="296"/>
      <c r="I999" s="288"/>
      <c r="J999" s="288"/>
      <c r="K999" s="288"/>
    </row>
    <row r="1000" spans="1:11">
      <c r="A1000" s="287"/>
      <c r="B1000" s="288" t="s">
        <v>3935</v>
      </c>
      <c r="C1000" s="292" t="s">
        <v>3483</v>
      </c>
      <c r="D1000" s="293">
        <v>9.14</v>
      </c>
      <c r="E1000" s="293">
        <v>2.46</v>
      </c>
      <c r="F1000" s="293" t="s">
        <v>2427</v>
      </c>
      <c r="G1000" s="288"/>
      <c r="H1000" s="296"/>
      <c r="I1000" s="293"/>
      <c r="J1000" s="293"/>
      <c r="K1000" s="293"/>
    </row>
    <row r="1001" spans="1:11">
      <c r="A1001" s="287"/>
      <c r="B1001" s="288" t="s">
        <v>3935</v>
      </c>
      <c r="C1001" s="292" t="s">
        <v>618</v>
      </c>
      <c r="D1001" s="293">
        <v>11.23</v>
      </c>
      <c r="E1001" s="293">
        <v>2</v>
      </c>
      <c r="F1001" s="288" t="s">
        <v>2427</v>
      </c>
      <c r="G1001" s="293"/>
      <c r="I1001" s="288"/>
      <c r="J1001" s="288"/>
      <c r="K1001" s="288"/>
    </row>
    <row r="1002" spans="1:11">
      <c r="A1002" s="287"/>
      <c r="B1002" s="288" t="s">
        <v>3935</v>
      </c>
      <c r="C1002" s="292" t="s">
        <v>3139</v>
      </c>
      <c r="D1002" s="293">
        <v>16.79</v>
      </c>
      <c r="E1002" s="293">
        <v>3.9</v>
      </c>
      <c r="F1002" s="288" t="s">
        <v>339</v>
      </c>
      <c r="G1002" s="293"/>
      <c r="I1002" s="288"/>
      <c r="J1002" s="288"/>
      <c r="K1002" s="288"/>
    </row>
    <row r="1003" spans="1:11">
      <c r="A1003" s="287"/>
      <c r="B1003" s="288" t="s">
        <v>3935</v>
      </c>
      <c r="C1003" s="292" t="s">
        <v>3484</v>
      </c>
      <c r="D1003" s="293">
        <v>12.82</v>
      </c>
      <c r="E1003" s="293">
        <v>1.9</v>
      </c>
      <c r="F1003" s="293" t="s">
        <v>330</v>
      </c>
      <c r="G1003" s="293"/>
      <c r="I1003" s="293"/>
      <c r="J1003" s="293"/>
      <c r="K1003" s="293"/>
    </row>
    <row r="1004" spans="1:11">
      <c r="A1004" s="287"/>
      <c r="B1004" s="288" t="s">
        <v>3935</v>
      </c>
      <c r="C1004" s="292" t="s">
        <v>3485</v>
      </c>
      <c r="D1004" s="293">
        <v>7.62</v>
      </c>
      <c r="E1004" s="293">
        <v>1.52</v>
      </c>
      <c r="F1004" s="293" t="s">
        <v>350</v>
      </c>
      <c r="G1004" s="293"/>
      <c r="H1004" s="296"/>
      <c r="I1004" s="288"/>
      <c r="J1004" s="288"/>
      <c r="K1004" s="288"/>
    </row>
    <row r="1005" spans="1:11">
      <c r="A1005" s="287"/>
      <c r="B1005" s="288" t="s">
        <v>3935</v>
      </c>
      <c r="C1005" s="292" t="s">
        <v>3486</v>
      </c>
      <c r="D1005" s="293">
        <v>15.05</v>
      </c>
      <c r="E1005" s="288" t="s">
        <v>327</v>
      </c>
      <c r="F1005" s="293" t="s">
        <v>344</v>
      </c>
      <c r="G1005" s="288"/>
      <c r="I1005" s="288"/>
      <c r="J1005" s="288"/>
      <c r="K1005" s="288"/>
    </row>
    <row r="1006" spans="1:11">
      <c r="A1006" s="287"/>
      <c r="B1006" s="288" t="s">
        <v>3935</v>
      </c>
      <c r="C1006" s="292" t="s">
        <v>3490</v>
      </c>
      <c r="D1006" s="288" t="s">
        <v>1262</v>
      </c>
      <c r="E1006" s="288">
        <v>1.72</v>
      </c>
      <c r="F1006" s="288" t="s">
        <v>3647</v>
      </c>
      <c r="G1006" s="288"/>
      <c r="I1006" s="288"/>
      <c r="J1006" s="288"/>
      <c r="K1006" s="288"/>
    </row>
    <row r="1007" spans="1:11">
      <c r="A1007" s="287"/>
      <c r="B1007" s="288" t="s">
        <v>3935</v>
      </c>
      <c r="C1007" s="292" t="s">
        <v>3491</v>
      </c>
      <c r="D1007" s="288" t="s">
        <v>1262</v>
      </c>
      <c r="E1007" s="288">
        <v>1.99</v>
      </c>
      <c r="F1007" s="288" t="s">
        <v>3647</v>
      </c>
      <c r="G1007" s="288"/>
      <c r="H1007" s="296"/>
      <c r="I1007" s="288"/>
      <c r="J1007" s="288"/>
      <c r="K1007" s="288"/>
    </row>
    <row r="1008" spans="1:11">
      <c r="A1008" s="287"/>
      <c r="B1008" s="288" t="s">
        <v>3935</v>
      </c>
      <c r="C1008" s="292" t="s">
        <v>3504</v>
      </c>
      <c r="D1008" s="293">
        <v>11.28</v>
      </c>
      <c r="E1008" s="293">
        <v>2.78</v>
      </c>
      <c r="F1008" s="288" t="s">
        <v>339</v>
      </c>
      <c r="G1008" s="288"/>
      <c r="I1008" s="288"/>
      <c r="J1008" s="288"/>
      <c r="K1008" s="288"/>
    </row>
    <row r="1009" spans="1:11">
      <c r="A1009" s="287"/>
      <c r="B1009" s="288" t="s">
        <v>3935</v>
      </c>
      <c r="C1009" s="292" t="s">
        <v>453</v>
      </c>
      <c r="D1009" s="293">
        <v>11.99</v>
      </c>
      <c r="E1009" s="293">
        <v>2.5</v>
      </c>
      <c r="F1009" s="288" t="s">
        <v>344</v>
      </c>
      <c r="G1009" s="288"/>
      <c r="I1009" s="288"/>
      <c r="J1009" s="288"/>
      <c r="K1009" s="288"/>
    </row>
    <row r="1010" spans="1:11">
      <c r="A1010" s="287"/>
      <c r="B1010" s="288" t="s">
        <v>3935</v>
      </c>
      <c r="C1010" s="292" t="s">
        <v>452</v>
      </c>
      <c r="D1010" s="293">
        <v>11.99</v>
      </c>
      <c r="E1010" s="293">
        <v>2.7</v>
      </c>
      <c r="F1010" s="288" t="s">
        <v>344</v>
      </c>
      <c r="G1010" s="293"/>
      <c r="I1010" s="293"/>
      <c r="J1010" s="293"/>
      <c r="K1010" s="293"/>
    </row>
    <row r="1011" spans="1:11">
      <c r="A1011" s="287"/>
      <c r="B1011" s="288" t="s">
        <v>3935</v>
      </c>
      <c r="C1011" s="292" t="s">
        <v>2889</v>
      </c>
      <c r="D1011" s="288" t="s">
        <v>1265</v>
      </c>
      <c r="E1011" s="293">
        <v>1.98</v>
      </c>
      <c r="F1011" s="293" t="s">
        <v>2424</v>
      </c>
      <c r="G1011" s="293"/>
      <c r="I1011" s="288"/>
      <c r="J1011" s="288"/>
      <c r="K1011" s="288"/>
    </row>
    <row r="1012" spans="1:11">
      <c r="A1012" s="287"/>
      <c r="B1012" s="288" t="s">
        <v>3935</v>
      </c>
      <c r="C1012" s="292" t="s">
        <v>2890</v>
      </c>
      <c r="D1012" s="293">
        <v>8.6199999999999992</v>
      </c>
      <c r="E1012" s="293">
        <v>1.49</v>
      </c>
      <c r="F1012" s="293" t="s">
        <v>3618</v>
      </c>
      <c r="G1012" s="293"/>
      <c r="I1012" s="288"/>
      <c r="J1012" s="288"/>
      <c r="K1012" s="288"/>
    </row>
    <row r="1013" spans="1:11">
      <c r="A1013" s="287"/>
      <c r="B1013" s="288" t="s">
        <v>3935</v>
      </c>
      <c r="C1013" s="292" t="s">
        <v>2891</v>
      </c>
      <c r="D1013" s="288" t="s">
        <v>2102</v>
      </c>
      <c r="E1013" s="293">
        <v>1.85</v>
      </c>
      <c r="F1013" s="293" t="s">
        <v>2437</v>
      </c>
      <c r="G1013" s="288"/>
      <c r="I1013" s="288"/>
      <c r="J1013" s="288"/>
      <c r="K1013" s="288"/>
    </row>
    <row r="1014" spans="1:11">
      <c r="A1014" s="287"/>
      <c r="B1014" s="288" t="s">
        <v>3935</v>
      </c>
      <c r="C1014" s="292" t="s">
        <v>2892</v>
      </c>
      <c r="D1014" s="288" t="s">
        <v>2100</v>
      </c>
      <c r="E1014" s="293">
        <v>1.78</v>
      </c>
      <c r="F1014" s="293" t="s">
        <v>2415</v>
      </c>
      <c r="G1014" s="288"/>
      <c r="H1014" s="296"/>
      <c r="I1014" s="288"/>
      <c r="J1014" s="288"/>
      <c r="K1014" s="288"/>
    </row>
    <row r="1015" spans="1:11">
      <c r="A1015" s="288"/>
      <c r="B1015" s="288" t="s">
        <v>3935</v>
      </c>
      <c r="C1015" s="292" t="s">
        <v>2893</v>
      </c>
      <c r="D1015" s="293">
        <v>7.5</v>
      </c>
      <c r="E1015" s="293">
        <v>1.22</v>
      </c>
      <c r="F1015" s="288" t="s">
        <v>347</v>
      </c>
      <c r="G1015" s="288"/>
      <c r="I1015" s="288"/>
      <c r="J1015" s="288"/>
      <c r="K1015" s="288"/>
    </row>
    <row r="1016" spans="1:11">
      <c r="A1016" s="287"/>
      <c r="B1016" s="288" t="s">
        <v>3935</v>
      </c>
      <c r="C1016" s="292" t="s">
        <v>2911</v>
      </c>
      <c r="D1016" s="293">
        <v>7.32</v>
      </c>
      <c r="E1016" s="293">
        <v>1.24</v>
      </c>
      <c r="F1016" s="293" t="s">
        <v>3638</v>
      </c>
      <c r="G1016" s="293"/>
      <c r="I1016" s="288"/>
      <c r="J1016" s="288"/>
      <c r="K1016" s="288"/>
    </row>
    <row r="1017" spans="1:11">
      <c r="A1017" s="287"/>
      <c r="B1017" s="288" t="s">
        <v>3935</v>
      </c>
      <c r="C1017" s="292" t="s">
        <v>2912</v>
      </c>
      <c r="D1017" s="293">
        <v>11.18</v>
      </c>
      <c r="E1017" s="293">
        <v>1.48</v>
      </c>
      <c r="F1017" s="293" t="s">
        <v>330</v>
      </c>
      <c r="G1017" s="288"/>
      <c r="I1017" s="288"/>
      <c r="J1017" s="288"/>
      <c r="K1017" s="288"/>
    </row>
    <row r="1018" spans="1:11">
      <c r="A1018" s="287" t="s">
        <v>2407</v>
      </c>
      <c r="B1018" s="288" t="s">
        <v>3935</v>
      </c>
      <c r="C1018" s="292" t="s">
        <v>2571</v>
      </c>
      <c r="D1018" s="288" t="s">
        <v>2097</v>
      </c>
      <c r="E1018" s="293">
        <v>1.82</v>
      </c>
      <c r="F1018" s="288" t="s">
        <v>3668</v>
      </c>
      <c r="G1018" s="288"/>
      <c r="I1018" s="288"/>
      <c r="J1018" s="288"/>
      <c r="K1018" s="288"/>
    </row>
    <row r="1019" spans="1:11">
      <c r="A1019" s="287"/>
      <c r="B1019" s="288" t="s">
        <v>3935</v>
      </c>
      <c r="C1019" s="292" t="s">
        <v>2572</v>
      </c>
      <c r="D1019" s="293">
        <v>8.9499999999999993</v>
      </c>
      <c r="E1019" s="293">
        <v>1.64</v>
      </c>
      <c r="F1019" s="293" t="s">
        <v>2420</v>
      </c>
      <c r="G1019" s="293"/>
      <c r="I1019" s="288"/>
      <c r="J1019" s="288"/>
      <c r="K1019" s="288"/>
    </row>
    <row r="1020" spans="1:11">
      <c r="A1020" s="287"/>
      <c r="B1020" s="288" t="s">
        <v>3935</v>
      </c>
      <c r="C1020" s="292" t="s">
        <v>2573</v>
      </c>
      <c r="D1020" s="293">
        <v>9</v>
      </c>
      <c r="E1020" s="293">
        <v>1.71</v>
      </c>
      <c r="F1020" s="293" t="s">
        <v>352</v>
      </c>
      <c r="G1020" s="288"/>
      <c r="I1020" s="288"/>
      <c r="J1020" s="288"/>
      <c r="K1020" s="288"/>
    </row>
    <row r="1021" spans="1:11">
      <c r="A1021" s="287"/>
      <c r="B1021" s="288" t="s">
        <v>3935</v>
      </c>
      <c r="C1021" s="292" t="s">
        <v>2574</v>
      </c>
      <c r="D1021" s="293">
        <v>14.55</v>
      </c>
      <c r="E1021" s="293">
        <v>2.97</v>
      </c>
      <c r="F1021" s="288" t="s">
        <v>2413</v>
      </c>
      <c r="G1021" s="288"/>
      <c r="I1021" s="288"/>
      <c r="J1021" s="288"/>
      <c r="K1021" s="288"/>
    </row>
    <row r="1022" spans="1:11">
      <c r="A1022" s="287"/>
      <c r="B1022" s="288" t="s">
        <v>3935</v>
      </c>
      <c r="C1022" s="292" t="s">
        <v>2575</v>
      </c>
      <c r="D1022" s="293">
        <v>11.8</v>
      </c>
      <c r="E1022" s="293">
        <v>1.68</v>
      </c>
      <c r="F1022" s="293" t="s">
        <v>2576</v>
      </c>
      <c r="G1022" s="288"/>
      <c r="I1022" s="288"/>
      <c r="J1022" s="288"/>
      <c r="K1022" s="288"/>
    </row>
    <row r="1023" spans="1:11">
      <c r="A1023" s="287"/>
      <c r="B1023" s="288" t="s">
        <v>3935</v>
      </c>
      <c r="C1023" s="292" t="s">
        <v>2577</v>
      </c>
      <c r="D1023" s="293">
        <v>10.67</v>
      </c>
      <c r="E1023" s="293">
        <v>1.81</v>
      </c>
      <c r="F1023" s="293" t="s">
        <v>344</v>
      </c>
      <c r="G1023" s="288"/>
      <c r="I1023" s="288"/>
      <c r="J1023" s="288"/>
      <c r="K1023" s="288"/>
    </row>
    <row r="1024" spans="1:11">
      <c r="A1024" s="287" t="s">
        <v>2407</v>
      </c>
      <c r="B1024" s="288" t="s">
        <v>3935</v>
      </c>
      <c r="C1024" s="292" t="s">
        <v>2578</v>
      </c>
      <c r="D1024" s="293">
        <v>18.28</v>
      </c>
      <c r="E1024" s="293">
        <v>2.59</v>
      </c>
      <c r="F1024" s="293" t="s">
        <v>347</v>
      </c>
      <c r="G1024" s="288"/>
      <c r="I1024" s="288"/>
      <c r="J1024" s="288"/>
      <c r="K1024" s="288"/>
    </row>
    <row r="1025" spans="1:11">
      <c r="A1025" s="287"/>
      <c r="B1025" s="288" t="s">
        <v>3935</v>
      </c>
      <c r="C1025" s="292" t="s">
        <v>2579</v>
      </c>
      <c r="D1025" s="288" t="s">
        <v>1256</v>
      </c>
      <c r="E1025" s="293">
        <v>2.56</v>
      </c>
      <c r="F1025" s="293" t="s">
        <v>330</v>
      </c>
      <c r="G1025" s="288"/>
      <c r="I1025" s="288"/>
      <c r="J1025" s="288"/>
      <c r="K1025" s="288"/>
    </row>
    <row r="1026" spans="1:11">
      <c r="A1026" s="287"/>
      <c r="B1026" s="288" t="s">
        <v>3935</v>
      </c>
      <c r="C1026" s="292" t="s">
        <v>2586</v>
      </c>
      <c r="D1026" s="293">
        <v>9.39</v>
      </c>
      <c r="E1026" s="293">
        <v>1.69</v>
      </c>
      <c r="F1026" s="293" t="s">
        <v>350</v>
      </c>
      <c r="G1026" s="288"/>
      <c r="I1026" s="288"/>
      <c r="J1026" s="288"/>
      <c r="K1026" s="288"/>
    </row>
    <row r="1027" spans="1:11">
      <c r="A1027" s="287"/>
      <c r="B1027" s="288" t="s">
        <v>3935</v>
      </c>
      <c r="C1027" s="292" t="s">
        <v>597</v>
      </c>
      <c r="D1027" s="288" t="s">
        <v>598</v>
      </c>
      <c r="E1027" s="288" t="s">
        <v>480</v>
      </c>
      <c r="F1027" s="288" t="s">
        <v>585</v>
      </c>
      <c r="G1027" s="293"/>
      <c r="I1027" s="288"/>
      <c r="J1027" s="288"/>
      <c r="K1027" s="288"/>
    </row>
    <row r="1028" spans="1:11">
      <c r="A1028" s="287"/>
      <c r="B1028" s="288" t="s">
        <v>3935</v>
      </c>
      <c r="C1028" s="292" t="s">
        <v>2607</v>
      </c>
      <c r="D1028" s="293">
        <v>9.4499999999999993</v>
      </c>
      <c r="E1028" s="293">
        <v>1.84</v>
      </c>
      <c r="F1028" s="293" t="s">
        <v>3635</v>
      </c>
      <c r="G1028" s="288"/>
      <c r="I1028" s="288"/>
      <c r="J1028" s="288"/>
      <c r="K1028" s="288"/>
    </row>
    <row r="1029" spans="1:11">
      <c r="A1029" s="287"/>
      <c r="B1029" s="288" t="s">
        <v>3935</v>
      </c>
      <c r="C1029" s="292" t="s">
        <v>2608</v>
      </c>
      <c r="D1029" s="293">
        <v>9.25</v>
      </c>
      <c r="E1029" s="293">
        <v>1.62</v>
      </c>
      <c r="F1029" s="293" t="s">
        <v>350</v>
      </c>
      <c r="G1029" s="288"/>
      <c r="I1029" s="288"/>
      <c r="J1029" s="288"/>
      <c r="K1029" s="288"/>
    </row>
    <row r="1030" spans="1:11">
      <c r="A1030" s="287"/>
      <c r="B1030" s="288" t="s">
        <v>3935</v>
      </c>
      <c r="C1030" s="292" t="s">
        <v>2609</v>
      </c>
      <c r="D1030" s="293">
        <v>8.68</v>
      </c>
      <c r="E1030" s="293">
        <v>1.79</v>
      </c>
      <c r="F1030" s="293" t="s">
        <v>328</v>
      </c>
      <c r="G1030" s="288"/>
      <c r="I1030" s="288"/>
      <c r="J1030" s="288"/>
      <c r="K1030" s="288"/>
    </row>
    <row r="1031" spans="1:11">
      <c r="A1031" s="287"/>
      <c r="B1031" s="288" t="s">
        <v>3935</v>
      </c>
      <c r="C1031" s="292" t="s">
        <v>2610</v>
      </c>
      <c r="D1031" s="293">
        <v>8.5299999999999994</v>
      </c>
      <c r="E1031" s="293">
        <v>1.42</v>
      </c>
      <c r="F1031" s="293" t="s">
        <v>2611</v>
      </c>
      <c r="G1031" s="288"/>
      <c r="I1031" s="288"/>
      <c r="J1031" s="288"/>
      <c r="K1031" s="288"/>
    </row>
    <row r="1032" spans="1:11">
      <c r="A1032" s="287"/>
      <c r="B1032" s="288" t="s">
        <v>3935</v>
      </c>
      <c r="C1032" s="292" t="s">
        <v>2612</v>
      </c>
      <c r="D1032" s="293">
        <v>14.98</v>
      </c>
      <c r="E1032" s="293">
        <v>2.0699999999999998</v>
      </c>
      <c r="F1032" s="293" t="s">
        <v>2409</v>
      </c>
      <c r="G1032" s="288"/>
      <c r="I1032" s="288"/>
      <c r="J1032" s="288"/>
      <c r="K1032" s="288"/>
    </row>
    <row r="1033" spans="1:11">
      <c r="A1033" s="287"/>
      <c r="B1033" s="288" t="s">
        <v>3935</v>
      </c>
      <c r="C1033" s="292" t="s">
        <v>2615</v>
      </c>
      <c r="D1033" s="293">
        <v>10.82</v>
      </c>
      <c r="E1033" s="293">
        <v>1.83</v>
      </c>
      <c r="F1033" s="293" t="s">
        <v>3638</v>
      </c>
      <c r="G1033" s="288"/>
      <c r="I1033" s="288"/>
      <c r="J1033" s="288"/>
      <c r="K1033" s="288"/>
    </row>
    <row r="1034" spans="1:11">
      <c r="A1034" s="287"/>
      <c r="B1034" s="288" t="s">
        <v>3935</v>
      </c>
      <c r="C1034" s="292" t="s">
        <v>4804</v>
      </c>
      <c r="D1034" s="288" t="s">
        <v>4805</v>
      </c>
      <c r="E1034" s="288" t="s">
        <v>432</v>
      </c>
      <c r="F1034" s="288" t="s">
        <v>2143</v>
      </c>
      <c r="G1034" s="288"/>
      <c r="I1034" s="293"/>
      <c r="J1034" s="293"/>
      <c r="K1034" s="293"/>
    </row>
    <row r="1035" spans="1:11">
      <c r="A1035" s="287"/>
      <c r="B1035" s="288" t="s">
        <v>3935</v>
      </c>
      <c r="C1035" s="292" t="s">
        <v>2651</v>
      </c>
      <c r="D1035" s="293">
        <v>10.98</v>
      </c>
      <c r="E1035" s="293">
        <v>1.68</v>
      </c>
      <c r="F1035" s="293" t="s">
        <v>347</v>
      </c>
      <c r="G1035" s="288"/>
      <c r="I1035" s="293"/>
      <c r="J1035" s="293"/>
      <c r="K1035" s="293"/>
    </row>
    <row r="1036" spans="1:11">
      <c r="A1036" s="287"/>
      <c r="B1036" s="288" t="s">
        <v>3935</v>
      </c>
      <c r="C1036" s="292" t="s">
        <v>2652</v>
      </c>
      <c r="D1036" s="293">
        <v>9.9499999999999993</v>
      </c>
      <c r="E1036" s="293">
        <v>1.77</v>
      </c>
      <c r="F1036" s="293" t="s">
        <v>350</v>
      </c>
      <c r="G1036" s="288"/>
      <c r="I1036" s="293"/>
      <c r="J1036" s="293"/>
      <c r="K1036" s="293"/>
    </row>
    <row r="1037" spans="1:11">
      <c r="A1037" s="287"/>
      <c r="B1037" s="288" t="s">
        <v>3935</v>
      </c>
      <c r="C1037" s="292" t="s">
        <v>2653</v>
      </c>
      <c r="D1037" s="293">
        <v>11.47</v>
      </c>
      <c r="E1037" s="293">
        <v>2.1</v>
      </c>
      <c r="F1037" s="288" t="s">
        <v>332</v>
      </c>
      <c r="G1037" s="288"/>
      <c r="I1037" s="288"/>
      <c r="J1037" s="288"/>
      <c r="K1037" s="288"/>
    </row>
    <row r="1038" spans="1:11">
      <c r="A1038" s="287"/>
      <c r="B1038" s="288" t="s">
        <v>3935</v>
      </c>
      <c r="C1038" s="292" t="s">
        <v>813</v>
      </c>
      <c r="D1038" s="293">
        <v>8.35</v>
      </c>
      <c r="E1038" s="293">
        <v>1.7</v>
      </c>
      <c r="F1038" s="288" t="s">
        <v>2427</v>
      </c>
      <c r="G1038" s="288"/>
      <c r="H1038" s="296"/>
      <c r="I1038" s="288"/>
      <c r="J1038" s="288"/>
      <c r="K1038" s="288"/>
    </row>
    <row r="1039" spans="1:11">
      <c r="A1039" s="287"/>
      <c r="B1039" s="288" t="s">
        <v>3935</v>
      </c>
      <c r="C1039" s="292" t="s">
        <v>2667</v>
      </c>
      <c r="D1039" s="288" t="s">
        <v>1282</v>
      </c>
      <c r="E1039" s="293">
        <v>1.78</v>
      </c>
      <c r="F1039" s="293" t="s">
        <v>2418</v>
      </c>
      <c r="G1039" s="288"/>
      <c r="H1039" s="296"/>
      <c r="I1039" s="288"/>
      <c r="J1039" s="288"/>
      <c r="K1039" s="288"/>
    </row>
    <row r="1040" spans="1:11">
      <c r="A1040" s="287"/>
      <c r="B1040" s="288" t="s">
        <v>3935</v>
      </c>
      <c r="C1040" s="292" t="s">
        <v>2668</v>
      </c>
      <c r="D1040" s="293">
        <v>8.51</v>
      </c>
      <c r="E1040" s="288" t="s">
        <v>327</v>
      </c>
      <c r="F1040" s="293" t="s">
        <v>2418</v>
      </c>
      <c r="G1040" s="288"/>
      <c r="H1040" s="296"/>
      <c r="I1040" s="288"/>
      <c r="J1040" s="288"/>
      <c r="K1040" s="288"/>
    </row>
    <row r="1041" spans="1:11">
      <c r="A1041" s="287"/>
      <c r="B1041" s="288" t="s">
        <v>3935</v>
      </c>
      <c r="C1041" s="292" t="s">
        <v>2669</v>
      </c>
      <c r="D1041" s="293">
        <v>7.22</v>
      </c>
      <c r="E1041" s="293">
        <v>1.67</v>
      </c>
      <c r="F1041" s="293" t="s">
        <v>352</v>
      </c>
      <c r="G1041" s="288"/>
      <c r="I1041" s="288"/>
      <c r="J1041" s="288"/>
      <c r="K1041" s="288"/>
    </row>
    <row r="1042" spans="1:11">
      <c r="A1042" s="287" t="s">
        <v>2407</v>
      </c>
      <c r="B1042" s="288" t="s">
        <v>3935</v>
      </c>
      <c r="C1042" s="292" t="s">
        <v>2683</v>
      </c>
      <c r="D1042" s="293">
        <v>7.86</v>
      </c>
      <c r="E1042" s="293">
        <v>2.4</v>
      </c>
      <c r="F1042" s="293" t="s">
        <v>2410</v>
      </c>
      <c r="G1042" s="288"/>
      <c r="I1042" s="288"/>
      <c r="J1042" s="288"/>
      <c r="K1042" s="288"/>
    </row>
    <row r="1043" spans="1:11">
      <c r="A1043" s="287"/>
      <c r="B1043" s="288" t="s">
        <v>3935</v>
      </c>
      <c r="C1043" s="292" t="s">
        <v>2684</v>
      </c>
      <c r="D1043" s="288" t="s">
        <v>2101</v>
      </c>
      <c r="E1043" s="293">
        <v>1.7</v>
      </c>
      <c r="F1043" s="288" t="s">
        <v>355</v>
      </c>
      <c r="G1043" s="288"/>
      <c r="I1043" s="288"/>
      <c r="J1043" s="288"/>
      <c r="K1043" s="288"/>
    </row>
    <row r="1044" spans="1:11">
      <c r="A1044" s="287"/>
      <c r="B1044" s="288" t="s">
        <v>3935</v>
      </c>
      <c r="C1044" s="292" t="s">
        <v>814</v>
      </c>
      <c r="D1044" s="293">
        <v>11.6</v>
      </c>
      <c r="E1044" s="293">
        <v>2.46</v>
      </c>
      <c r="F1044" s="293" t="s">
        <v>2409</v>
      </c>
      <c r="G1044" s="288"/>
      <c r="I1044" s="293"/>
      <c r="J1044" s="293"/>
      <c r="K1044" s="293"/>
    </row>
    <row r="1045" spans="1:11">
      <c r="A1045" s="287"/>
      <c r="B1045" s="288" t="s">
        <v>3935</v>
      </c>
      <c r="C1045" s="292" t="s">
        <v>2687</v>
      </c>
      <c r="D1045" s="293">
        <v>11.31</v>
      </c>
      <c r="E1045" s="293">
        <v>1.8</v>
      </c>
      <c r="F1045" s="293" t="s">
        <v>2590</v>
      </c>
      <c r="G1045" s="288"/>
      <c r="I1045" s="293"/>
      <c r="J1045" s="293"/>
      <c r="K1045" s="293"/>
    </row>
    <row r="1046" spans="1:11">
      <c r="A1046" s="287"/>
      <c r="B1046" s="288" t="s">
        <v>3935</v>
      </c>
      <c r="C1046" s="292" t="s">
        <v>2690</v>
      </c>
      <c r="D1046" s="293">
        <v>7.61</v>
      </c>
      <c r="E1046" s="293">
        <v>1.68</v>
      </c>
      <c r="F1046" s="293" t="s">
        <v>342</v>
      </c>
      <c r="G1046" s="288"/>
      <c r="I1046" s="288"/>
      <c r="J1046" s="288"/>
      <c r="K1046" s="288"/>
    </row>
    <row r="1047" spans="1:11">
      <c r="A1047" s="287"/>
      <c r="B1047" s="288" t="s">
        <v>3935</v>
      </c>
      <c r="C1047" s="292" t="s">
        <v>2693</v>
      </c>
      <c r="D1047" s="288" t="s">
        <v>1284</v>
      </c>
      <c r="E1047" s="293">
        <v>1.57</v>
      </c>
      <c r="F1047" s="293" t="s">
        <v>2420</v>
      </c>
      <c r="G1047" s="288"/>
      <c r="I1047" s="288"/>
      <c r="J1047" s="288"/>
      <c r="K1047" s="288"/>
    </row>
    <row r="1048" spans="1:11">
      <c r="A1048" s="287"/>
      <c r="B1048" s="288" t="s">
        <v>3935</v>
      </c>
      <c r="C1048" s="292" t="s">
        <v>2696</v>
      </c>
      <c r="D1048" s="293">
        <v>9.1</v>
      </c>
      <c r="E1048" s="293">
        <v>2</v>
      </c>
      <c r="F1048" s="288" t="s">
        <v>2410</v>
      </c>
      <c r="G1048" s="288"/>
      <c r="H1048" s="296"/>
      <c r="I1048" s="293"/>
      <c r="J1048" s="293"/>
      <c r="K1048" s="293"/>
    </row>
    <row r="1049" spans="1:11">
      <c r="A1049" s="287"/>
      <c r="B1049" s="288" t="s">
        <v>3935</v>
      </c>
      <c r="C1049" s="292" t="s">
        <v>2697</v>
      </c>
      <c r="D1049" s="288" t="s">
        <v>1285</v>
      </c>
      <c r="E1049" s="293">
        <v>1.52</v>
      </c>
      <c r="F1049" s="293" t="s">
        <v>2422</v>
      </c>
      <c r="G1049" s="288"/>
      <c r="H1049" s="296"/>
      <c r="I1049" s="288"/>
      <c r="J1049" s="288"/>
      <c r="K1049" s="288"/>
    </row>
    <row r="1050" spans="1:11">
      <c r="A1050" s="287"/>
      <c r="B1050" s="288" t="s">
        <v>3935</v>
      </c>
      <c r="C1050" s="292" t="s">
        <v>2698</v>
      </c>
      <c r="D1050" s="288" t="s">
        <v>337</v>
      </c>
      <c r="E1050" s="293">
        <v>2.2000000000000002</v>
      </c>
      <c r="F1050" s="288" t="s">
        <v>2427</v>
      </c>
      <c r="G1050" s="288"/>
      <c r="I1050" s="288"/>
      <c r="J1050" s="288"/>
      <c r="K1050" s="288"/>
    </row>
    <row r="1051" spans="1:11">
      <c r="A1051" s="287"/>
      <c r="B1051" s="288" t="s">
        <v>3935</v>
      </c>
      <c r="C1051" s="292" t="s">
        <v>2699</v>
      </c>
      <c r="D1051" s="293">
        <v>8</v>
      </c>
      <c r="E1051" s="293">
        <v>1.93</v>
      </c>
      <c r="F1051" s="293" t="s">
        <v>2424</v>
      </c>
      <c r="G1051" s="293"/>
      <c r="I1051" s="288"/>
      <c r="J1051" s="288"/>
      <c r="K1051" s="288"/>
    </row>
    <row r="1052" spans="1:11">
      <c r="A1052" s="287"/>
      <c r="B1052" s="288" t="s">
        <v>3935</v>
      </c>
      <c r="C1052" s="292" t="s">
        <v>2700</v>
      </c>
      <c r="D1052" s="293">
        <v>10.64</v>
      </c>
      <c r="E1052" s="293">
        <v>1.45</v>
      </c>
      <c r="F1052" s="293" t="s">
        <v>336</v>
      </c>
      <c r="G1052" s="293"/>
      <c r="H1052" s="296"/>
      <c r="I1052" s="288"/>
      <c r="J1052" s="288"/>
      <c r="K1052" s="288"/>
    </row>
    <row r="1053" spans="1:11">
      <c r="A1053" s="287"/>
      <c r="B1053" s="288" t="s">
        <v>3935</v>
      </c>
      <c r="C1053" s="292" t="s">
        <v>2701</v>
      </c>
      <c r="D1053" s="293">
        <v>12.33</v>
      </c>
      <c r="E1053" s="293">
        <v>2.06</v>
      </c>
      <c r="F1053" s="293" t="s">
        <v>2439</v>
      </c>
      <c r="G1053" s="293"/>
      <c r="I1053" s="293"/>
      <c r="J1053" s="293"/>
      <c r="K1053" s="293"/>
    </row>
    <row r="1054" spans="1:11">
      <c r="A1054" s="287"/>
      <c r="B1054" s="288" t="s">
        <v>3935</v>
      </c>
      <c r="C1054" s="292" t="s">
        <v>1836</v>
      </c>
      <c r="D1054" s="293">
        <v>11.38</v>
      </c>
      <c r="E1054" s="293">
        <v>1.86</v>
      </c>
      <c r="F1054" s="293" t="s">
        <v>2431</v>
      </c>
      <c r="G1054" s="288"/>
      <c r="I1054" s="293"/>
      <c r="J1054" s="293"/>
      <c r="K1054" s="293"/>
    </row>
    <row r="1055" spans="1:11">
      <c r="A1055" s="287"/>
      <c r="B1055" s="288" t="s">
        <v>3935</v>
      </c>
      <c r="C1055" s="292" t="s">
        <v>1837</v>
      </c>
      <c r="D1055" s="293">
        <v>10.99</v>
      </c>
      <c r="E1055" s="293">
        <v>2</v>
      </c>
      <c r="F1055" s="293" t="s">
        <v>2437</v>
      </c>
      <c r="G1055" s="288"/>
      <c r="I1055" s="288"/>
      <c r="J1055" s="288"/>
      <c r="K1055" s="288"/>
    </row>
    <row r="1056" spans="1:11">
      <c r="A1056" s="287"/>
      <c r="B1056" s="288" t="s">
        <v>3935</v>
      </c>
      <c r="C1056" s="292" t="s">
        <v>1850</v>
      </c>
      <c r="D1056" s="293">
        <v>12.4</v>
      </c>
      <c r="E1056" s="293">
        <v>2.48</v>
      </c>
      <c r="F1056" s="288" t="s">
        <v>332</v>
      </c>
      <c r="G1056" s="288"/>
      <c r="I1056" s="288"/>
      <c r="J1056" s="288"/>
      <c r="K1056" s="288"/>
    </row>
    <row r="1057" spans="1:11">
      <c r="A1057" s="287"/>
      <c r="B1057" s="288" t="s">
        <v>3935</v>
      </c>
      <c r="C1057" s="292" t="s">
        <v>1851</v>
      </c>
      <c r="D1057" s="293">
        <v>14.03</v>
      </c>
      <c r="E1057" s="293">
        <v>2.89</v>
      </c>
      <c r="F1057" s="288" t="s">
        <v>2427</v>
      </c>
      <c r="G1057" s="288"/>
      <c r="H1057" s="296"/>
      <c r="I1057" s="288"/>
      <c r="J1057" s="288"/>
      <c r="K1057" s="288"/>
    </row>
    <row r="1058" spans="1:11">
      <c r="A1058" s="287"/>
      <c r="B1058" s="288" t="s">
        <v>3935</v>
      </c>
      <c r="C1058" s="292" t="s">
        <v>1852</v>
      </c>
      <c r="D1058" s="293">
        <v>9.85</v>
      </c>
      <c r="E1058" s="288" t="s">
        <v>327</v>
      </c>
      <c r="F1058" s="293" t="s">
        <v>2409</v>
      </c>
      <c r="G1058" s="288"/>
      <c r="H1058" s="296"/>
      <c r="I1058" s="288"/>
      <c r="J1058" s="288"/>
      <c r="K1058" s="288"/>
    </row>
    <row r="1059" spans="1:11">
      <c r="A1059" s="287"/>
      <c r="B1059" s="288" t="s">
        <v>3935</v>
      </c>
      <c r="C1059" s="292" t="s">
        <v>1853</v>
      </c>
      <c r="D1059" s="293">
        <v>9.9</v>
      </c>
      <c r="E1059" s="293">
        <v>1.8</v>
      </c>
      <c r="F1059" s="293" t="s">
        <v>342</v>
      </c>
      <c r="G1059" s="288"/>
      <c r="I1059" s="288"/>
      <c r="J1059" s="288"/>
      <c r="K1059" s="288"/>
    </row>
    <row r="1060" spans="1:11">
      <c r="A1060" s="287"/>
      <c r="B1060" s="288" t="s">
        <v>3935</v>
      </c>
      <c r="C1060" s="292" t="s">
        <v>815</v>
      </c>
      <c r="D1060" s="293">
        <v>7.46</v>
      </c>
      <c r="E1060" s="293">
        <v>1.1000000000000001</v>
      </c>
      <c r="F1060" s="293" t="s">
        <v>344</v>
      </c>
      <c r="G1060" s="288"/>
      <c r="I1060" s="288"/>
      <c r="J1060" s="288"/>
      <c r="K1060" s="288"/>
    </row>
    <row r="1061" spans="1:11">
      <c r="A1061" s="287"/>
      <c r="B1061" s="288" t="s">
        <v>3935</v>
      </c>
      <c r="C1061" s="292" t="s">
        <v>1856</v>
      </c>
      <c r="D1061" s="293">
        <v>5.81</v>
      </c>
      <c r="E1061" s="293">
        <v>1.38</v>
      </c>
      <c r="F1061" s="293" t="s">
        <v>2424</v>
      </c>
      <c r="G1061" s="293"/>
      <c r="I1061" s="288"/>
      <c r="J1061" s="288"/>
      <c r="K1061" s="288"/>
    </row>
    <row r="1062" spans="1:11">
      <c r="A1062" s="287" t="s">
        <v>2407</v>
      </c>
      <c r="B1062" s="288" t="s">
        <v>3935</v>
      </c>
      <c r="C1062" s="292" t="s">
        <v>1859</v>
      </c>
      <c r="D1062" s="293">
        <v>9.1999999999999993</v>
      </c>
      <c r="E1062" s="293">
        <v>1.7</v>
      </c>
      <c r="F1062" s="288" t="s">
        <v>2437</v>
      </c>
      <c r="G1062" s="293"/>
      <c r="I1062" s="288"/>
      <c r="J1062" s="288"/>
      <c r="K1062" s="288"/>
    </row>
    <row r="1063" spans="1:11">
      <c r="A1063" s="287" t="s">
        <v>2407</v>
      </c>
      <c r="B1063" s="288" t="s">
        <v>3935</v>
      </c>
      <c r="C1063" s="292" t="s">
        <v>1869</v>
      </c>
      <c r="D1063" s="293">
        <v>12.5</v>
      </c>
      <c r="E1063" s="293">
        <v>1.47</v>
      </c>
      <c r="F1063" s="293" t="s">
        <v>2431</v>
      </c>
      <c r="G1063" s="288"/>
      <c r="I1063" s="288"/>
      <c r="J1063" s="288"/>
      <c r="K1063" s="288"/>
    </row>
    <row r="1064" spans="1:11">
      <c r="A1064" s="287"/>
      <c r="B1064" s="377" t="s">
        <v>3935</v>
      </c>
      <c r="C1064" s="376" t="s">
        <v>1870</v>
      </c>
      <c r="D1064" s="375">
        <v>7.43</v>
      </c>
      <c r="E1064" s="375">
        <v>1.43</v>
      </c>
      <c r="F1064" s="375" t="s">
        <v>2437</v>
      </c>
      <c r="G1064" s="288"/>
      <c r="I1064" s="288"/>
      <c r="J1064" s="288"/>
      <c r="K1064" s="288"/>
    </row>
    <row r="1065" spans="1:11">
      <c r="A1065" s="287"/>
      <c r="B1065" s="288" t="s">
        <v>3935</v>
      </c>
      <c r="C1065" s="292" t="s">
        <v>1872</v>
      </c>
      <c r="D1065" s="293">
        <v>10.27</v>
      </c>
      <c r="E1065" s="293">
        <v>1.86</v>
      </c>
      <c r="F1065" s="293" t="s">
        <v>3616</v>
      </c>
      <c r="G1065" s="293"/>
      <c r="I1065" s="288"/>
      <c r="J1065" s="288"/>
      <c r="K1065" s="288"/>
    </row>
    <row r="1066" spans="1:11">
      <c r="A1066" s="287"/>
      <c r="B1066" s="288" t="s">
        <v>3935</v>
      </c>
      <c r="C1066" s="292" t="s">
        <v>1871</v>
      </c>
      <c r="D1066" s="293">
        <v>9.09</v>
      </c>
      <c r="E1066" s="293">
        <v>1.67</v>
      </c>
      <c r="F1066" s="293" t="s">
        <v>3668</v>
      </c>
      <c r="G1066" s="288"/>
      <c r="I1066" s="288"/>
      <c r="J1066" s="288"/>
      <c r="K1066" s="288"/>
    </row>
    <row r="1067" spans="1:11">
      <c r="A1067" s="287"/>
      <c r="B1067" s="288" t="s">
        <v>3935</v>
      </c>
      <c r="C1067" s="292" t="s">
        <v>1897</v>
      </c>
      <c r="D1067" s="293">
        <v>11.72</v>
      </c>
      <c r="E1067" s="293">
        <v>1.9</v>
      </c>
      <c r="F1067" s="293" t="s">
        <v>2442</v>
      </c>
      <c r="G1067" s="288"/>
      <c r="I1067" s="293"/>
      <c r="J1067" s="293"/>
      <c r="K1067" s="293"/>
    </row>
    <row r="1068" spans="1:11">
      <c r="A1068" s="287"/>
      <c r="B1068" s="288" t="s">
        <v>3935</v>
      </c>
      <c r="C1068" s="292" t="s">
        <v>4095</v>
      </c>
      <c r="D1068" s="293">
        <v>7.98</v>
      </c>
      <c r="E1068" s="293">
        <v>1.87</v>
      </c>
      <c r="F1068" s="293" t="s">
        <v>2408</v>
      </c>
      <c r="G1068" s="288"/>
      <c r="I1068" s="288"/>
      <c r="J1068" s="288"/>
      <c r="K1068" s="288"/>
    </row>
    <row r="1069" spans="1:11">
      <c r="A1069" s="287"/>
      <c r="B1069" s="288" t="s">
        <v>3935</v>
      </c>
      <c r="C1069" s="292" t="s">
        <v>4096</v>
      </c>
      <c r="D1069" s="293">
        <v>9.98</v>
      </c>
      <c r="E1069" s="293">
        <v>1.43</v>
      </c>
      <c r="F1069" s="293" t="s">
        <v>350</v>
      </c>
      <c r="G1069" s="288"/>
      <c r="I1069" s="288"/>
      <c r="J1069" s="288"/>
      <c r="K1069" s="288"/>
    </row>
    <row r="1070" spans="1:11">
      <c r="A1070" s="287"/>
      <c r="B1070" s="288" t="s">
        <v>3935</v>
      </c>
      <c r="C1070" s="292" t="s">
        <v>4098</v>
      </c>
      <c r="D1070" s="293">
        <v>6.63</v>
      </c>
      <c r="E1070" s="293">
        <v>1.17</v>
      </c>
      <c r="F1070" s="293" t="s">
        <v>3638</v>
      </c>
      <c r="G1070" s="293"/>
      <c r="I1070" s="288"/>
      <c r="J1070" s="288"/>
      <c r="K1070" s="288"/>
    </row>
    <row r="1071" spans="1:11">
      <c r="A1071" s="287"/>
      <c r="B1071" s="288" t="s">
        <v>3935</v>
      </c>
      <c r="C1071" s="292" t="s">
        <v>274</v>
      </c>
      <c r="D1071" s="293">
        <v>9.0500000000000007</v>
      </c>
      <c r="E1071" s="293">
        <v>1.45</v>
      </c>
      <c r="F1071" s="293" t="s">
        <v>2437</v>
      </c>
      <c r="G1071" s="293"/>
      <c r="H1071" s="296"/>
      <c r="I1071" s="288"/>
      <c r="J1071" s="288"/>
      <c r="K1071" s="288"/>
    </row>
    <row r="1072" spans="1:11">
      <c r="A1072" s="287"/>
      <c r="B1072" s="288" t="s">
        <v>3935</v>
      </c>
      <c r="C1072" s="292" t="s">
        <v>275</v>
      </c>
      <c r="D1072" s="293">
        <v>7.92</v>
      </c>
      <c r="E1072" s="293">
        <v>1.42</v>
      </c>
      <c r="F1072" s="293" t="s">
        <v>347</v>
      </c>
      <c r="G1072" s="288"/>
      <c r="I1072" s="288"/>
      <c r="J1072" s="288"/>
      <c r="K1072" s="288"/>
    </row>
    <row r="1073" spans="1:11">
      <c r="A1073" s="287"/>
      <c r="B1073" s="288" t="s">
        <v>3935</v>
      </c>
      <c r="C1073" s="292" t="s">
        <v>292</v>
      </c>
      <c r="D1073" s="293">
        <v>9.51</v>
      </c>
      <c r="E1073" s="293">
        <v>1.97</v>
      </c>
      <c r="F1073" s="293" t="s">
        <v>2406</v>
      </c>
      <c r="G1073" s="288"/>
      <c r="I1073" s="288"/>
      <c r="J1073" s="288"/>
      <c r="K1073" s="288"/>
    </row>
    <row r="1074" spans="1:11">
      <c r="A1074" s="287"/>
      <c r="B1074" s="288" t="s">
        <v>3935</v>
      </c>
      <c r="C1074" s="292" t="s">
        <v>293</v>
      </c>
      <c r="D1074" s="293">
        <v>9.5</v>
      </c>
      <c r="E1074" s="293">
        <v>1.85</v>
      </c>
      <c r="F1074" s="288" t="s">
        <v>2406</v>
      </c>
      <c r="G1074" s="288"/>
      <c r="I1074" s="288"/>
      <c r="J1074" s="288"/>
      <c r="K1074" s="288"/>
    </row>
    <row r="1075" spans="1:11">
      <c r="A1075" s="287"/>
      <c r="B1075" s="288" t="s">
        <v>3935</v>
      </c>
      <c r="C1075" s="292" t="s">
        <v>294</v>
      </c>
      <c r="D1075" s="293">
        <v>12.8</v>
      </c>
      <c r="E1075" s="293">
        <v>2.5</v>
      </c>
      <c r="F1075" s="288" t="s">
        <v>2427</v>
      </c>
      <c r="G1075" s="288"/>
      <c r="I1075" s="293"/>
      <c r="J1075" s="293"/>
      <c r="K1075" s="293"/>
    </row>
    <row r="1076" spans="1:11">
      <c r="A1076" s="287"/>
      <c r="B1076" s="288" t="s">
        <v>3935</v>
      </c>
      <c r="C1076" s="292" t="s">
        <v>295</v>
      </c>
      <c r="D1076" s="293">
        <v>7.32</v>
      </c>
      <c r="E1076" s="293">
        <v>1.75</v>
      </c>
      <c r="F1076" s="293" t="s">
        <v>344</v>
      </c>
      <c r="G1076" s="288"/>
      <c r="I1076" s="293"/>
      <c r="J1076" s="293"/>
      <c r="K1076" s="293"/>
    </row>
    <row r="1077" spans="1:11">
      <c r="A1077" s="287"/>
      <c r="B1077" s="288" t="s">
        <v>3935</v>
      </c>
      <c r="C1077" s="292" t="s">
        <v>296</v>
      </c>
      <c r="D1077" s="293">
        <v>11</v>
      </c>
      <c r="E1077" s="293">
        <v>2.2999999999999998</v>
      </c>
      <c r="F1077" s="288" t="s">
        <v>2410</v>
      </c>
      <c r="G1077" s="288"/>
      <c r="I1077" s="288"/>
      <c r="J1077" s="288"/>
      <c r="K1077" s="288"/>
    </row>
    <row r="1078" spans="1:11">
      <c r="A1078" s="287"/>
      <c r="B1078" s="288" t="s">
        <v>3935</v>
      </c>
      <c r="C1078" s="292" t="s">
        <v>297</v>
      </c>
      <c r="D1078" s="288" t="s">
        <v>1292</v>
      </c>
      <c r="E1078" s="293">
        <v>2.36</v>
      </c>
      <c r="F1078" s="293" t="s">
        <v>2410</v>
      </c>
      <c r="G1078" s="288"/>
      <c r="I1078" s="288"/>
      <c r="J1078" s="288"/>
      <c r="K1078" s="288"/>
    </row>
    <row r="1079" spans="1:11">
      <c r="A1079" s="287"/>
      <c r="B1079" s="288" t="s">
        <v>3935</v>
      </c>
      <c r="C1079" s="292" t="s">
        <v>298</v>
      </c>
      <c r="D1079" s="288" t="s">
        <v>1293</v>
      </c>
      <c r="E1079" s="293">
        <v>1.3</v>
      </c>
      <c r="F1079" s="293" t="s">
        <v>336</v>
      </c>
      <c r="G1079" s="288"/>
      <c r="H1079" s="296"/>
      <c r="I1079" s="288"/>
      <c r="J1079" s="288"/>
      <c r="K1079" s="288"/>
    </row>
    <row r="1080" spans="1:11">
      <c r="A1080" s="287"/>
      <c r="B1080" s="288" t="s">
        <v>3935</v>
      </c>
      <c r="C1080" s="292" t="s">
        <v>299</v>
      </c>
      <c r="D1080" s="293">
        <v>7.01</v>
      </c>
      <c r="E1080" s="293">
        <v>1.2</v>
      </c>
      <c r="F1080" s="293" t="s">
        <v>2435</v>
      </c>
      <c r="G1080" s="288"/>
      <c r="H1080" s="296"/>
      <c r="I1080" s="288"/>
      <c r="J1080" s="288"/>
      <c r="K1080" s="288"/>
    </row>
    <row r="1081" spans="1:11">
      <c r="A1081" s="287"/>
      <c r="B1081" s="288" t="s">
        <v>3935</v>
      </c>
      <c r="C1081" s="292" t="s">
        <v>816</v>
      </c>
      <c r="D1081" s="293">
        <v>6.55</v>
      </c>
      <c r="E1081" s="293">
        <v>1.35</v>
      </c>
      <c r="F1081" s="293" t="s">
        <v>3618</v>
      </c>
      <c r="G1081" s="288"/>
      <c r="I1081" s="293"/>
      <c r="J1081" s="293"/>
      <c r="K1081" s="293"/>
    </row>
    <row r="1082" spans="1:11">
      <c r="A1082" s="287"/>
      <c r="B1082" s="288" t="s">
        <v>3935</v>
      </c>
      <c r="C1082" s="292" t="s">
        <v>300</v>
      </c>
      <c r="D1082" s="293">
        <v>8.8000000000000007</v>
      </c>
      <c r="E1082" s="293">
        <v>1.96</v>
      </c>
      <c r="F1082" s="288" t="s">
        <v>337</v>
      </c>
      <c r="G1082" s="288"/>
      <c r="I1082" s="288"/>
      <c r="J1082" s="288"/>
      <c r="K1082" s="288"/>
    </row>
    <row r="1083" spans="1:11">
      <c r="A1083" s="287"/>
      <c r="B1083" s="288" t="s">
        <v>3935</v>
      </c>
      <c r="C1083" s="292" t="s">
        <v>301</v>
      </c>
      <c r="D1083" s="293">
        <v>7.93</v>
      </c>
      <c r="E1083" s="293">
        <v>1.6</v>
      </c>
      <c r="F1083" s="288" t="s">
        <v>302</v>
      </c>
      <c r="G1083" s="288"/>
      <c r="I1083" s="293"/>
      <c r="J1083" s="293"/>
      <c r="K1083" s="293"/>
    </row>
    <row r="1084" spans="1:11">
      <c r="A1084" s="287"/>
      <c r="B1084" s="288" t="s">
        <v>3935</v>
      </c>
      <c r="C1084" s="292" t="s">
        <v>309</v>
      </c>
      <c r="D1084" s="293">
        <v>9.83</v>
      </c>
      <c r="E1084" s="293">
        <v>1.8</v>
      </c>
      <c r="F1084" s="293" t="s">
        <v>3668</v>
      </c>
      <c r="G1084" s="293"/>
      <c r="I1084" s="293"/>
      <c r="J1084" s="293"/>
      <c r="K1084" s="293"/>
    </row>
    <row r="1085" spans="1:11">
      <c r="A1085" s="287"/>
      <c r="B1085" s="288" t="s">
        <v>3935</v>
      </c>
      <c r="C1085" s="292" t="s">
        <v>310</v>
      </c>
      <c r="D1085" s="288" t="s">
        <v>2123</v>
      </c>
      <c r="E1085" s="293">
        <v>1.78</v>
      </c>
      <c r="F1085" s="293" t="s">
        <v>3668</v>
      </c>
      <c r="G1085" s="288"/>
      <c r="H1085" s="296"/>
      <c r="I1085" s="288"/>
      <c r="J1085" s="288"/>
      <c r="K1085" s="288"/>
    </row>
    <row r="1086" spans="1:11">
      <c r="A1086" s="287"/>
      <c r="B1086" s="288" t="s">
        <v>3935</v>
      </c>
      <c r="C1086" s="292" t="s">
        <v>311</v>
      </c>
      <c r="D1086" s="293">
        <v>5.55</v>
      </c>
      <c r="E1086" s="293">
        <v>1.75</v>
      </c>
      <c r="F1086" s="288" t="s">
        <v>2411</v>
      </c>
      <c r="G1086" s="288"/>
      <c r="I1086" s="288"/>
      <c r="J1086" s="288"/>
      <c r="K1086" s="288"/>
    </row>
    <row r="1087" spans="1:11">
      <c r="A1087" s="287"/>
      <c r="B1087" s="288" t="s">
        <v>3935</v>
      </c>
      <c r="C1087" s="292" t="s">
        <v>317</v>
      </c>
      <c r="D1087" s="293">
        <v>7.3</v>
      </c>
      <c r="E1087" s="293">
        <v>1.5</v>
      </c>
      <c r="F1087" s="293" t="s">
        <v>332</v>
      </c>
      <c r="G1087" s="288"/>
      <c r="H1087" s="296"/>
      <c r="I1087" s="293"/>
      <c r="J1087" s="293"/>
      <c r="K1087" s="293"/>
    </row>
    <row r="1088" spans="1:11">
      <c r="A1088" s="287"/>
      <c r="B1088" s="288" t="s">
        <v>3935</v>
      </c>
      <c r="C1088" s="292" t="s">
        <v>2206</v>
      </c>
      <c r="D1088" s="288" t="s">
        <v>1297</v>
      </c>
      <c r="E1088" s="293">
        <v>1.48</v>
      </c>
      <c r="F1088" s="293" t="s">
        <v>2418</v>
      </c>
      <c r="G1088" s="288"/>
      <c r="H1088" s="296"/>
      <c r="I1088" s="288"/>
      <c r="J1088" s="288"/>
      <c r="K1088" s="288"/>
    </row>
    <row r="1089" spans="1:11">
      <c r="A1089" s="287"/>
      <c r="B1089" s="288" t="s">
        <v>3935</v>
      </c>
      <c r="C1089" s="292" t="s">
        <v>2207</v>
      </c>
      <c r="D1089" s="293">
        <v>8.9</v>
      </c>
      <c r="E1089" s="293">
        <v>1.7</v>
      </c>
      <c r="F1089" s="293" t="s">
        <v>3618</v>
      </c>
      <c r="G1089" s="288"/>
      <c r="I1089" s="288"/>
      <c r="J1089" s="288"/>
      <c r="K1089" s="288"/>
    </row>
    <row r="1090" spans="1:11">
      <c r="A1090" s="287"/>
      <c r="B1090" s="288" t="s">
        <v>3935</v>
      </c>
      <c r="C1090" s="292" t="s">
        <v>2209</v>
      </c>
      <c r="D1090" s="293">
        <v>7.85</v>
      </c>
      <c r="E1090" s="293">
        <v>1.17</v>
      </c>
      <c r="F1090" s="293" t="s">
        <v>2210</v>
      </c>
      <c r="G1090" s="288"/>
      <c r="I1090" s="288"/>
      <c r="J1090" s="288"/>
      <c r="K1090" s="288"/>
    </row>
    <row r="1091" spans="1:11">
      <c r="A1091" s="287"/>
      <c r="B1091" s="288" t="s">
        <v>3935</v>
      </c>
      <c r="C1091" s="292" t="s">
        <v>2211</v>
      </c>
      <c r="D1091" s="293">
        <v>10</v>
      </c>
      <c r="E1091" s="293">
        <v>2.04</v>
      </c>
      <c r="F1091" s="293" t="s">
        <v>344</v>
      </c>
      <c r="G1091" s="288"/>
      <c r="H1091" s="296"/>
      <c r="I1091" s="288"/>
      <c r="J1091" s="288"/>
      <c r="K1091" s="288"/>
    </row>
    <row r="1092" spans="1:11">
      <c r="A1092" s="287"/>
      <c r="B1092" s="288" t="s">
        <v>3935</v>
      </c>
      <c r="C1092" s="292" t="s">
        <v>2213</v>
      </c>
      <c r="D1092" s="293">
        <v>9.4499999999999993</v>
      </c>
      <c r="E1092" s="293">
        <v>1.83</v>
      </c>
      <c r="F1092" s="293" t="s">
        <v>347</v>
      </c>
      <c r="G1092" s="293"/>
      <c r="I1092" s="288"/>
      <c r="J1092" s="288"/>
      <c r="K1092" s="288"/>
    </row>
    <row r="1093" spans="1:11">
      <c r="A1093" s="287"/>
      <c r="B1093" s="288" t="s">
        <v>3935</v>
      </c>
      <c r="C1093" s="292" t="s">
        <v>2216</v>
      </c>
      <c r="D1093" s="293">
        <v>11</v>
      </c>
      <c r="E1093" s="293">
        <v>2.44</v>
      </c>
      <c r="F1093" s="293" t="s">
        <v>2410</v>
      </c>
      <c r="G1093" s="293"/>
      <c r="I1093" s="288"/>
      <c r="J1093" s="288"/>
      <c r="K1093" s="288"/>
    </row>
    <row r="1094" spans="1:11">
      <c r="A1094" s="287"/>
      <c r="B1094" s="288" t="s">
        <v>3935</v>
      </c>
      <c r="C1094" s="292" t="s">
        <v>4137</v>
      </c>
      <c r="D1094" s="293">
        <v>9.9</v>
      </c>
      <c r="E1094" s="293">
        <v>1.2</v>
      </c>
      <c r="F1094" s="288" t="s">
        <v>350</v>
      </c>
      <c r="G1094" s="288"/>
      <c r="I1094" s="288"/>
      <c r="J1094" s="288"/>
      <c r="K1094" s="288"/>
    </row>
    <row r="1095" spans="1:11">
      <c r="A1095" s="287"/>
      <c r="B1095" s="288" t="s">
        <v>3935</v>
      </c>
      <c r="C1095" s="292" t="s">
        <v>4138</v>
      </c>
      <c r="D1095" s="293">
        <v>9.1999999999999993</v>
      </c>
      <c r="E1095" s="293">
        <v>1.7</v>
      </c>
      <c r="F1095" s="288" t="s">
        <v>3635</v>
      </c>
      <c r="G1095" s="288"/>
      <c r="I1095" s="288"/>
      <c r="J1095" s="288"/>
      <c r="K1095" s="288"/>
    </row>
    <row r="1096" spans="1:11">
      <c r="A1096" s="287"/>
      <c r="B1096" s="288" t="s">
        <v>3935</v>
      </c>
      <c r="C1096" s="292" t="s">
        <v>4139</v>
      </c>
      <c r="D1096" s="288" t="s">
        <v>2143</v>
      </c>
      <c r="E1096" s="293">
        <v>2.0499999999999998</v>
      </c>
      <c r="F1096" s="288" t="s">
        <v>347</v>
      </c>
      <c r="G1096" s="288"/>
      <c r="I1096" s="288"/>
      <c r="J1096" s="288"/>
      <c r="K1096" s="288"/>
    </row>
    <row r="1097" spans="1:11">
      <c r="A1097" s="287"/>
      <c r="B1097" s="288" t="s">
        <v>3935</v>
      </c>
      <c r="C1097" s="292" t="s">
        <v>4140</v>
      </c>
      <c r="D1097" s="293">
        <v>8.02</v>
      </c>
      <c r="E1097" s="293">
        <v>1.68</v>
      </c>
      <c r="F1097" s="293" t="s">
        <v>350</v>
      </c>
      <c r="G1097" s="288"/>
      <c r="I1097" s="288"/>
      <c r="J1097" s="288"/>
      <c r="K1097" s="288"/>
    </row>
    <row r="1098" spans="1:11">
      <c r="A1098" s="287"/>
      <c r="B1098" s="288" t="s">
        <v>3935</v>
      </c>
      <c r="C1098" s="292" t="s">
        <v>4141</v>
      </c>
      <c r="D1098" s="293">
        <v>8.02</v>
      </c>
      <c r="E1098" s="293">
        <v>1.32</v>
      </c>
      <c r="F1098" s="293" t="s">
        <v>350</v>
      </c>
      <c r="G1098" s="293"/>
      <c r="I1098" s="288"/>
      <c r="J1098" s="288"/>
      <c r="K1098" s="288"/>
    </row>
    <row r="1099" spans="1:11">
      <c r="A1099" s="287"/>
      <c r="B1099" s="288" t="s">
        <v>3935</v>
      </c>
      <c r="C1099" s="292" t="s">
        <v>3368</v>
      </c>
      <c r="D1099" s="293">
        <v>6.8</v>
      </c>
      <c r="E1099" s="293">
        <v>1.8</v>
      </c>
      <c r="F1099" s="288" t="s">
        <v>2442</v>
      </c>
      <c r="G1099" s="288"/>
      <c r="I1099" s="288"/>
      <c r="J1099" s="288"/>
      <c r="K1099" s="288"/>
    </row>
    <row r="1100" spans="1:11">
      <c r="A1100" s="287"/>
      <c r="B1100" s="288" t="s">
        <v>3935</v>
      </c>
      <c r="C1100" s="292" t="s">
        <v>3369</v>
      </c>
      <c r="D1100" s="288" t="s">
        <v>1305</v>
      </c>
      <c r="E1100" s="293">
        <v>1.79</v>
      </c>
      <c r="F1100" s="293" t="s">
        <v>2422</v>
      </c>
      <c r="G1100" s="293"/>
      <c r="I1100" s="293"/>
      <c r="J1100" s="293"/>
      <c r="K1100" s="293"/>
    </row>
    <row r="1101" spans="1:11">
      <c r="A1101" s="287"/>
      <c r="B1101" s="288" t="s">
        <v>3935</v>
      </c>
      <c r="C1101" s="292" t="s">
        <v>3370</v>
      </c>
      <c r="D1101" s="293">
        <v>9.36</v>
      </c>
      <c r="E1101" s="293">
        <v>1.86</v>
      </c>
      <c r="F1101" s="293" t="s">
        <v>2418</v>
      </c>
      <c r="G1101" s="293"/>
      <c r="I1101" s="293"/>
      <c r="J1101" s="293"/>
      <c r="K1101" s="293"/>
    </row>
    <row r="1102" spans="1:11">
      <c r="A1102" s="287"/>
      <c r="B1102" s="288" t="s">
        <v>3935</v>
      </c>
      <c r="C1102" s="292" t="s">
        <v>3371</v>
      </c>
      <c r="D1102" s="293">
        <v>7.65</v>
      </c>
      <c r="E1102" s="293">
        <v>1.6</v>
      </c>
      <c r="F1102" s="288" t="s">
        <v>350</v>
      </c>
      <c r="G1102" s="288"/>
      <c r="I1102" s="288"/>
      <c r="J1102" s="288"/>
      <c r="K1102" s="288"/>
    </row>
    <row r="1103" spans="1:11">
      <c r="A1103" s="287"/>
      <c r="B1103" s="288" t="s">
        <v>3935</v>
      </c>
      <c r="C1103" s="292" t="s">
        <v>3372</v>
      </c>
      <c r="D1103" s="288" t="s">
        <v>2130</v>
      </c>
      <c r="E1103" s="293">
        <v>1.8</v>
      </c>
      <c r="F1103" s="288" t="s">
        <v>2418</v>
      </c>
      <c r="G1103" s="288"/>
      <c r="I1103" s="288"/>
      <c r="J1103" s="288"/>
      <c r="K1103" s="288"/>
    </row>
    <row r="1104" spans="1:11">
      <c r="A1104" s="287"/>
      <c r="B1104" s="288" t="s">
        <v>3935</v>
      </c>
      <c r="C1104" s="292" t="s">
        <v>1015</v>
      </c>
      <c r="D1104" s="288" t="s">
        <v>2102</v>
      </c>
      <c r="E1104" s="288">
        <v>1.75</v>
      </c>
      <c r="F1104" s="288" t="s">
        <v>2442</v>
      </c>
      <c r="G1104" s="293"/>
      <c r="H1104" s="296"/>
      <c r="I1104" s="288"/>
      <c r="J1104" s="288"/>
      <c r="K1104" s="288"/>
    </row>
    <row r="1105" spans="1:11">
      <c r="A1105" s="287"/>
      <c r="B1105" s="288" t="s">
        <v>3935</v>
      </c>
      <c r="C1105" s="292" t="s">
        <v>1027</v>
      </c>
      <c r="D1105" s="293">
        <v>10.029999999999999</v>
      </c>
      <c r="E1105" s="293">
        <v>2.12</v>
      </c>
      <c r="F1105" s="288" t="s">
        <v>364</v>
      </c>
      <c r="G1105" s="288"/>
      <c r="H1105" s="296"/>
      <c r="I1105" s="288"/>
      <c r="J1105" s="288"/>
      <c r="K1105" s="288"/>
    </row>
    <row r="1106" spans="1:11">
      <c r="A1106" s="287"/>
      <c r="B1106" s="288" t="s">
        <v>3935</v>
      </c>
      <c r="C1106" s="292" t="s">
        <v>1030</v>
      </c>
      <c r="D1106" s="293">
        <v>9.24</v>
      </c>
      <c r="E1106" s="293">
        <v>1.87</v>
      </c>
      <c r="F1106" s="293" t="s">
        <v>355</v>
      </c>
      <c r="G1106" s="288"/>
      <c r="I1106" s="288"/>
      <c r="J1106" s="288"/>
      <c r="K1106" s="288"/>
    </row>
    <row r="1107" spans="1:11">
      <c r="A1107" s="287"/>
      <c r="B1107" s="288" t="s">
        <v>3935</v>
      </c>
      <c r="C1107" s="292" t="s">
        <v>1031</v>
      </c>
      <c r="D1107" s="293">
        <v>8.0500000000000007</v>
      </c>
      <c r="E1107" s="293">
        <v>1.5</v>
      </c>
      <c r="F1107" s="293" t="s">
        <v>2420</v>
      </c>
      <c r="G1107" s="288"/>
      <c r="I1107" s="288"/>
      <c r="J1107" s="288"/>
      <c r="K1107" s="288"/>
    </row>
    <row r="1108" spans="1:11">
      <c r="A1108" s="287"/>
      <c r="B1108" s="288" t="s">
        <v>3935</v>
      </c>
      <c r="C1108" s="292" t="s">
        <v>1041</v>
      </c>
      <c r="D1108" s="293">
        <v>11.22</v>
      </c>
      <c r="E1108" s="293">
        <v>1.54</v>
      </c>
      <c r="F1108" s="293" t="s">
        <v>2210</v>
      </c>
      <c r="G1108" s="288"/>
      <c r="I1108" s="293"/>
      <c r="J1108" s="293"/>
      <c r="K1108" s="293"/>
    </row>
    <row r="1109" spans="1:11">
      <c r="A1109" s="287"/>
      <c r="B1109" s="288" t="s">
        <v>3935</v>
      </c>
      <c r="C1109" s="292" t="s">
        <v>493</v>
      </c>
      <c r="D1109" s="288" t="s">
        <v>494</v>
      </c>
      <c r="E1109" s="288" t="s">
        <v>495</v>
      </c>
      <c r="F1109" s="288" t="s">
        <v>337</v>
      </c>
      <c r="G1109" s="288"/>
      <c r="I1109" s="288"/>
      <c r="J1109" s="288"/>
      <c r="K1109" s="288"/>
    </row>
    <row r="1110" spans="1:11">
      <c r="A1110" s="287"/>
      <c r="B1110" s="288" t="s">
        <v>3935</v>
      </c>
      <c r="C1110" s="292" t="s">
        <v>61</v>
      </c>
      <c r="D1110" s="293">
        <v>7.79</v>
      </c>
      <c r="E1110" s="293">
        <v>1.48</v>
      </c>
      <c r="F1110" s="293" t="s">
        <v>2437</v>
      </c>
      <c r="G1110" s="288"/>
      <c r="I1110" s="288"/>
      <c r="J1110" s="288"/>
      <c r="K1110" s="288"/>
    </row>
    <row r="1111" spans="1:11">
      <c r="A1111" s="287"/>
      <c r="B1111" s="288" t="s">
        <v>3935</v>
      </c>
      <c r="C1111" s="292" t="s">
        <v>62</v>
      </c>
      <c r="D1111" s="293">
        <v>10.85</v>
      </c>
      <c r="E1111" s="293">
        <v>2.1</v>
      </c>
      <c r="F1111" s="293" t="s">
        <v>2442</v>
      </c>
      <c r="G1111" s="288"/>
      <c r="I1111" s="288"/>
      <c r="J1111" s="288"/>
      <c r="K1111" s="288"/>
    </row>
    <row r="1112" spans="1:11">
      <c r="A1112" s="287"/>
      <c r="B1112" s="288" t="s">
        <v>3935</v>
      </c>
      <c r="C1112" s="292" t="s">
        <v>67</v>
      </c>
      <c r="D1112" s="288" t="s">
        <v>1324</v>
      </c>
      <c r="E1112" s="293">
        <v>1.52</v>
      </c>
      <c r="F1112" s="293" t="s">
        <v>2210</v>
      </c>
      <c r="G1112" s="288"/>
      <c r="H1112" s="296"/>
      <c r="I1112" s="288"/>
      <c r="J1112" s="288"/>
      <c r="K1112" s="288"/>
    </row>
    <row r="1113" spans="1:11">
      <c r="A1113" s="287"/>
      <c r="B1113" s="288" t="s">
        <v>3935</v>
      </c>
      <c r="C1113" s="292" t="s">
        <v>68</v>
      </c>
      <c r="D1113" s="293">
        <v>8.5</v>
      </c>
      <c r="E1113" s="293">
        <v>1.8</v>
      </c>
      <c r="F1113" s="293" t="s">
        <v>2412</v>
      </c>
      <c r="G1113" s="288"/>
      <c r="I1113" s="288"/>
      <c r="J1113" s="288"/>
      <c r="K1113" s="288"/>
    </row>
    <row r="1114" spans="1:11">
      <c r="A1114" s="287"/>
      <c r="B1114" s="288" t="s">
        <v>3935</v>
      </c>
      <c r="C1114" s="292" t="s">
        <v>69</v>
      </c>
      <c r="D1114" s="293">
        <v>9.48</v>
      </c>
      <c r="E1114" s="288" t="s">
        <v>327</v>
      </c>
      <c r="F1114" s="293" t="s">
        <v>344</v>
      </c>
      <c r="G1114" s="288"/>
      <c r="I1114" s="288"/>
      <c r="J1114" s="288"/>
      <c r="K1114" s="288"/>
    </row>
    <row r="1115" spans="1:11">
      <c r="A1115" s="287"/>
      <c r="B1115" s="288" t="s">
        <v>3935</v>
      </c>
      <c r="C1115" s="292" t="s">
        <v>4815</v>
      </c>
      <c r="D1115" s="288" t="s">
        <v>4816</v>
      </c>
      <c r="E1115" s="288" t="s">
        <v>4817</v>
      </c>
      <c r="F1115" s="288" t="s">
        <v>2143</v>
      </c>
      <c r="G1115" s="288"/>
      <c r="I1115" s="288"/>
      <c r="J1115" s="288"/>
      <c r="K1115" s="288"/>
    </row>
    <row r="1116" spans="1:11">
      <c r="A1116" s="287"/>
      <c r="B1116" s="288" t="s">
        <v>3935</v>
      </c>
      <c r="C1116" s="292" t="s">
        <v>496</v>
      </c>
      <c r="D1116" s="288" t="s">
        <v>2032</v>
      </c>
      <c r="E1116" s="288" t="s">
        <v>437</v>
      </c>
      <c r="F1116" s="288" t="s">
        <v>2411</v>
      </c>
      <c r="G1116" s="288"/>
      <c r="I1116" s="288"/>
      <c r="J1116" s="288"/>
      <c r="K1116" s="288"/>
    </row>
    <row r="1117" spans="1:11">
      <c r="A1117" s="287"/>
      <c r="B1117" s="288" t="s">
        <v>3935</v>
      </c>
      <c r="C1117" s="292" t="s">
        <v>70</v>
      </c>
      <c r="D1117" s="293">
        <v>9.14</v>
      </c>
      <c r="E1117" s="293">
        <v>1.69</v>
      </c>
      <c r="F1117" s="293" t="s">
        <v>349</v>
      </c>
      <c r="G1117" s="293"/>
      <c r="I1117" s="288"/>
      <c r="J1117" s="288"/>
      <c r="K1117" s="288"/>
    </row>
    <row r="1118" spans="1:11">
      <c r="A1118" s="287"/>
      <c r="B1118" s="288" t="s">
        <v>3935</v>
      </c>
      <c r="C1118" s="292" t="s">
        <v>71</v>
      </c>
      <c r="D1118" s="293">
        <v>7.64</v>
      </c>
      <c r="E1118" s="293">
        <v>1.31</v>
      </c>
      <c r="F1118" s="293" t="s">
        <v>1029</v>
      </c>
      <c r="G1118" s="293"/>
      <c r="I1118" s="288"/>
      <c r="J1118" s="288"/>
      <c r="K1118" s="288"/>
    </row>
    <row r="1119" spans="1:11">
      <c r="A1119" s="287"/>
      <c r="B1119" s="288" t="s">
        <v>3935</v>
      </c>
      <c r="C1119" s="292" t="s">
        <v>72</v>
      </c>
      <c r="D1119" s="293">
        <v>11.56</v>
      </c>
      <c r="E1119" s="293">
        <v>1.6</v>
      </c>
      <c r="F1119" s="293" t="s">
        <v>364</v>
      </c>
      <c r="G1119" s="288"/>
      <c r="I1119" s="293"/>
      <c r="J1119" s="293"/>
      <c r="K1119" s="293"/>
    </row>
    <row r="1120" spans="1:11">
      <c r="A1120" s="287"/>
      <c r="B1120" s="288" t="s">
        <v>3935</v>
      </c>
      <c r="C1120" s="292" t="s">
        <v>73</v>
      </c>
      <c r="D1120" s="293">
        <v>11.06</v>
      </c>
      <c r="E1120" s="293">
        <v>1.99</v>
      </c>
      <c r="F1120" s="293" t="s">
        <v>2435</v>
      </c>
      <c r="G1120" s="288"/>
      <c r="I1120" s="293"/>
      <c r="J1120" s="293"/>
      <c r="K1120" s="293"/>
    </row>
    <row r="1121" spans="1:11">
      <c r="A1121" s="287"/>
      <c r="B1121" s="288" t="s">
        <v>3935</v>
      </c>
      <c r="C1121" s="292" t="s">
        <v>74</v>
      </c>
      <c r="D1121" s="293">
        <v>7.66</v>
      </c>
      <c r="E1121" s="293">
        <v>1.27</v>
      </c>
      <c r="F1121" s="293" t="s">
        <v>332</v>
      </c>
      <c r="G1121" s="288"/>
      <c r="I1121" s="288"/>
      <c r="J1121" s="288"/>
      <c r="K1121" s="288"/>
    </row>
    <row r="1122" spans="1:11">
      <c r="A1122" s="287"/>
      <c r="B1122" s="288" t="s">
        <v>3935</v>
      </c>
      <c r="C1122" s="292" t="s">
        <v>85</v>
      </c>
      <c r="D1122" s="293">
        <v>8.24</v>
      </c>
      <c r="E1122" s="293">
        <v>1.33</v>
      </c>
      <c r="F1122" s="293" t="s">
        <v>3618</v>
      </c>
      <c r="G1122" s="288"/>
      <c r="I1122" s="288"/>
      <c r="J1122" s="288"/>
      <c r="K1122" s="288"/>
    </row>
    <row r="1123" spans="1:11">
      <c r="A1123" s="287"/>
      <c r="B1123" s="288" t="s">
        <v>3935</v>
      </c>
      <c r="C1123" s="292" t="s">
        <v>86</v>
      </c>
      <c r="D1123" s="288" t="s">
        <v>1326</v>
      </c>
      <c r="E1123" s="293">
        <v>1.6</v>
      </c>
      <c r="F1123" s="293" t="s">
        <v>3644</v>
      </c>
      <c r="G1123" s="288"/>
      <c r="H1123" s="296"/>
      <c r="I1123" s="288"/>
      <c r="J1123" s="288"/>
      <c r="K1123" s="288"/>
    </row>
    <row r="1124" spans="1:11">
      <c r="A1124" s="287"/>
      <c r="B1124" s="288" t="s">
        <v>3935</v>
      </c>
      <c r="C1124" s="292" t="s">
        <v>94</v>
      </c>
      <c r="D1124" s="293">
        <v>12.72</v>
      </c>
      <c r="E1124" s="293">
        <v>1.78</v>
      </c>
      <c r="F1124" s="293" t="s">
        <v>330</v>
      </c>
      <c r="G1124" s="288"/>
      <c r="H1124" s="296"/>
      <c r="I1124" s="288"/>
      <c r="J1124" s="288"/>
      <c r="K1124" s="288"/>
    </row>
    <row r="1125" spans="1:11">
      <c r="A1125" s="287"/>
      <c r="B1125" s="288" t="s">
        <v>3935</v>
      </c>
      <c r="C1125" s="292" t="s">
        <v>95</v>
      </c>
      <c r="D1125" s="293">
        <v>9.86</v>
      </c>
      <c r="E1125" s="293">
        <v>1.8</v>
      </c>
      <c r="F1125" s="293" t="s">
        <v>2437</v>
      </c>
      <c r="G1125" s="288"/>
      <c r="I1125" s="293"/>
      <c r="J1125" s="293"/>
      <c r="K1125" s="293"/>
    </row>
    <row r="1126" spans="1:11">
      <c r="A1126" s="287"/>
      <c r="B1126" s="288" t="s">
        <v>3935</v>
      </c>
      <c r="C1126" s="292" t="s">
        <v>96</v>
      </c>
      <c r="D1126" s="293">
        <v>11.47</v>
      </c>
      <c r="E1126" s="293">
        <v>1.73</v>
      </c>
      <c r="F1126" s="293" t="s">
        <v>2408</v>
      </c>
      <c r="G1126" s="293"/>
      <c r="I1126" s="288"/>
      <c r="J1126" s="288"/>
      <c r="K1126" s="288"/>
    </row>
    <row r="1127" spans="1:11">
      <c r="A1127" s="287"/>
      <c r="B1127" s="288" t="s">
        <v>3935</v>
      </c>
      <c r="C1127" s="292" t="s">
        <v>97</v>
      </c>
      <c r="D1127" s="293">
        <v>9.34</v>
      </c>
      <c r="E1127" s="293">
        <v>1.58</v>
      </c>
      <c r="F1127" s="293" t="s">
        <v>2431</v>
      </c>
      <c r="G1127" s="288"/>
      <c r="I1127" s="293"/>
      <c r="J1127" s="293"/>
      <c r="K1127" s="293"/>
    </row>
    <row r="1128" spans="1:11">
      <c r="A1128" s="287"/>
      <c r="B1128" s="288" t="s">
        <v>3935</v>
      </c>
      <c r="C1128" s="292" t="s">
        <v>98</v>
      </c>
      <c r="D1128" s="293">
        <v>6.4</v>
      </c>
      <c r="E1128" s="293">
        <v>1.42</v>
      </c>
      <c r="F1128" s="293" t="s">
        <v>2404</v>
      </c>
      <c r="G1128" s="288"/>
      <c r="I1128" s="293"/>
      <c r="J1128" s="293"/>
      <c r="K1128" s="293"/>
    </row>
    <row r="1129" spans="1:11">
      <c r="A1129" s="287"/>
      <c r="B1129" s="288" t="s">
        <v>3935</v>
      </c>
      <c r="C1129" s="292" t="s">
        <v>99</v>
      </c>
      <c r="D1129" s="293">
        <v>9.49</v>
      </c>
      <c r="E1129" s="293">
        <v>1.99</v>
      </c>
      <c r="F1129" s="288" t="s">
        <v>2413</v>
      </c>
      <c r="G1129" s="288"/>
      <c r="H1129" s="296"/>
      <c r="I1129" s="293"/>
      <c r="J1129" s="293"/>
      <c r="K1129" s="293"/>
    </row>
    <row r="1130" spans="1:11">
      <c r="A1130" s="287"/>
      <c r="B1130" s="288" t="s">
        <v>3935</v>
      </c>
      <c r="C1130" s="292" t="s">
        <v>100</v>
      </c>
      <c r="D1130" s="293">
        <v>9.85</v>
      </c>
      <c r="E1130" s="293">
        <v>1.8</v>
      </c>
      <c r="F1130" s="293" t="s">
        <v>2405</v>
      </c>
      <c r="G1130" s="288"/>
      <c r="I1130" s="293"/>
      <c r="J1130" s="293"/>
      <c r="K1130" s="293"/>
    </row>
    <row r="1131" spans="1:11">
      <c r="A1131" s="287"/>
      <c r="B1131" s="288" t="s">
        <v>3935</v>
      </c>
      <c r="C1131" s="292" t="s">
        <v>101</v>
      </c>
      <c r="D1131" s="293">
        <v>21.5</v>
      </c>
      <c r="E1131" s="293">
        <v>4.5</v>
      </c>
      <c r="F1131" s="288" t="s">
        <v>339</v>
      </c>
      <c r="G1131" s="288"/>
      <c r="H1131" s="296"/>
      <c r="I1131" s="288"/>
      <c r="J1131" s="288"/>
      <c r="K1131" s="288"/>
    </row>
    <row r="1132" spans="1:11">
      <c r="A1132" s="287"/>
      <c r="B1132" s="288" t="s">
        <v>3935</v>
      </c>
      <c r="C1132" s="292" t="s">
        <v>615</v>
      </c>
      <c r="D1132" s="288" t="s">
        <v>616</v>
      </c>
      <c r="E1132" s="288" t="s">
        <v>617</v>
      </c>
      <c r="F1132" s="288" t="s">
        <v>1154</v>
      </c>
      <c r="G1132" s="288"/>
      <c r="H1132" s="296"/>
      <c r="I1132" s="288"/>
      <c r="J1132" s="288"/>
      <c r="K1132" s="288"/>
    </row>
    <row r="1133" spans="1:11">
      <c r="A1133" s="287"/>
      <c r="B1133" s="288" t="s">
        <v>3935</v>
      </c>
      <c r="C1133" s="292" t="s">
        <v>102</v>
      </c>
      <c r="D1133" s="288" t="s">
        <v>1330</v>
      </c>
      <c r="E1133" s="293">
        <v>1.68</v>
      </c>
      <c r="F1133" s="293" t="s">
        <v>364</v>
      </c>
      <c r="G1133" s="288"/>
      <c r="H1133" s="296"/>
      <c r="I1133" s="288"/>
      <c r="J1133" s="288"/>
      <c r="K1133" s="288"/>
    </row>
    <row r="1134" spans="1:11">
      <c r="A1134" s="287"/>
      <c r="B1134" s="288" t="s">
        <v>3935</v>
      </c>
      <c r="C1134" s="292" t="s">
        <v>497</v>
      </c>
      <c r="D1134" s="288" t="s">
        <v>498</v>
      </c>
      <c r="E1134" s="288" t="s">
        <v>499</v>
      </c>
      <c r="F1134" s="288" t="s">
        <v>2413</v>
      </c>
      <c r="G1134" s="288"/>
      <c r="H1134" s="296"/>
      <c r="I1134" s="288"/>
      <c r="J1134" s="288"/>
      <c r="K1134" s="288"/>
    </row>
    <row r="1135" spans="1:11">
      <c r="A1135" s="287"/>
      <c r="B1135" s="288" t="s">
        <v>3935</v>
      </c>
      <c r="C1135" s="292" t="s">
        <v>103</v>
      </c>
      <c r="D1135" s="293">
        <v>12.7</v>
      </c>
      <c r="E1135" s="293">
        <v>2</v>
      </c>
      <c r="F1135" s="288" t="s">
        <v>2410</v>
      </c>
      <c r="G1135" s="288"/>
      <c r="I1135" s="288"/>
      <c r="J1135" s="288"/>
      <c r="K1135" s="288"/>
    </row>
    <row r="1136" spans="1:11">
      <c r="A1136" s="287"/>
      <c r="B1136" s="288" t="s">
        <v>3935</v>
      </c>
      <c r="C1136" s="292" t="s">
        <v>104</v>
      </c>
      <c r="D1136" s="293">
        <v>10.56</v>
      </c>
      <c r="E1136" s="293">
        <v>1.59</v>
      </c>
      <c r="F1136" s="293" t="s">
        <v>105</v>
      </c>
      <c r="G1136" s="288"/>
      <c r="I1136" s="288"/>
      <c r="J1136" s="288"/>
      <c r="K1136" s="288"/>
    </row>
    <row r="1137" spans="1:11">
      <c r="A1137" s="287"/>
      <c r="B1137" s="288" t="s">
        <v>3935</v>
      </c>
      <c r="C1137" s="292" t="s">
        <v>1403</v>
      </c>
      <c r="D1137" s="288" t="s">
        <v>1338</v>
      </c>
      <c r="E1137" s="293">
        <v>2</v>
      </c>
      <c r="F1137" s="288" t="s">
        <v>334</v>
      </c>
      <c r="G1137" s="293"/>
      <c r="I1137" s="288"/>
      <c r="J1137" s="288"/>
      <c r="K1137" s="288"/>
    </row>
    <row r="1138" spans="1:11">
      <c r="A1138" s="287"/>
      <c r="B1138" s="288" t="s">
        <v>3935</v>
      </c>
      <c r="C1138" s="292" t="s">
        <v>2713</v>
      </c>
      <c r="D1138" s="288">
        <v>9.16</v>
      </c>
      <c r="E1138" s="288">
        <v>1.7</v>
      </c>
      <c r="F1138" s="288" t="s">
        <v>350</v>
      </c>
      <c r="G1138" s="293"/>
      <c r="I1138" s="288"/>
      <c r="J1138" s="288"/>
      <c r="K1138" s="288"/>
    </row>
    <row r="1139" spans="1:11">
      <c r="A1139" s="287"/>
      <c r="B1139" s="288" t="s">
        <v>3957</v>
      </c>
      <c r="C1139" s="292" t="s">
        <v>2654</v>
      </c>
      <c r="D1139" s="293">
        <v>7.98</v>
      </c>
      <c r="E1139" s="293">
        <v>1.47</v>
      </c>
      <c r="F1139" s="293" t="s">
        <v>2418</v>
      </c>
      <c r="G1139" s="288"/>
      <c r="I1139" s="288"/>
      <c r="J1139" s="288"/>
      <c r="K1139" s="288"/>
    </row>
    <row r="1140" spans="1:11">
      <c r="A1140" s="287"/>
      <c r="B1140" s="288" t="s">
        <v>3957</v>
      </c>
      <c r="C1140" s="292" t="s">
        <v>2655</v>
      </c>
      <c r="D1140" s="293">
        <v>10.19</v>
      </c>
      <c r="E1140" s="293">
        <v>1.87</v>
      </c>
      <c r="F1140" s="293" t="s">
        <v>2437</v>
      </c>
      <c r="G1140" s="288"/>
      <c r="I1140" s="288"/>
      <c r="J1140" s="288"/>
      <c r="K1140" s="288"/>
    </row>
    <row r="1141" spans="1:11">
      <c r="A1141" s="287"/>
      <c r="B1141" s="288" t="s">
        <v>3957</v>
      </c>
      <c r="C1141" s="292" t="s">
        <v>2656</v>
      </c>
      <c r="D1141" s="293">
        <v>10.54</v>
      </c>
      <c r="E1141" s="293">
        <v>2</v>
      </c>
      <c r="F1141" s="293" t="s">
        <v>3668</v>
      </c>
      <c r="G1141" s="288"/>
      <c r="I1141" s="293"/>
      <c r="J1141" s="293"/>
      <c r="K1141" s="293"/>
    </row>
    <row r="1142" spans="1:11">
      <c r="A1142" s="287"/>
      <c r="B1142" s="288" t="s">
        <v>3957</v>
      </c>
      <c r="C1142" s="292" t="s">
        <v>2657</v>
      </c>
      <c r="D1142" s="293">
        <v>11.26</v>
      </c>
      <c r="E1142" s="293">
        <v>1.99</v>
      </c>
      <c r="F1142" s="293" t="s">
        <v>2418</v>
      </c>
      <c r="G1142" s="288"/>
      <c r="I1142" s="293"/>
      <c r="J1142" s="293"/>
      <c r="K1142" s="293"/>
    </row>
    <row r="1143" spans="1:11">
      <c r="A1143" s="287"/>
      <c r="B1143" s="288" t="s">
        <v>3957</v>
      </c>
      <c r="C1143" s="292" t="s">
        <v>2658</v>
      </c>
      <c r="D1143" s="293">
        <v>12.07</v>
      </c>
      <c r="E1143" s="293">
        <v>2.29</v>
      </c>
      <c r="F1143" s="293" t="s">
        <v>2435</v>
      </c>
      <c r="G1143" s="293"/>
      <c r="I1143" s="293"/>
      <c r="J1143" s="293"/>
      <c r="K1143" s="293"/>
    </row>
    <row r="1144" spans="1:11">
      <c r="A1144" s="287"/>
      <c r="B1144" s="288" t="s">
        <v>3957</v>
      </c>
      <c r="C1144" s="292" t="s">
        <v>2659</v>
      </c>
      <c r="D1144" s="288" t="s">
        <v>1281</v>
      </c>
      <c r="E1144" s="293">
        <v>2.3199999999999998</v>
      </c>
      <c r="F1144" s="293" t="s">
        <v>349</v>
      </c>
      <c r="G1144" s="288"/>
      <c r="I1144" s="293"/>
      <c r="J1144" s="293"/>
      <c r="K1144" s="293"/>
    </row>
    <row r="1145" spans="1:11">
      <c r="A1145" s="287"/>
      <c r="B1145" s="288" t="s">
        <v>3957</v>
      </c>
      <c r="C1145" s="292" t="s">
        <v>2660</v>
      </c>
      <c r="D1145" s="293">
        <v>13.51</v>
      </c>
      <c r="E1145" s="293">
        <v>2.0099999999999998</v>
      </c>
      <c r="F1145" s="293" t="s">
        <v>2406</v>
      </c>
      <c r="G1145" s="293"/>
      <c r="H1145" s="296"/>
      <c r="I1145" s="288"/>
      <c r="J1145" s="288"/>
      <c r="K1145" s="288"/>
    </row>
    <row r="1146" spans="1:11">
      <c r="A1146" s="287"/>
      <c r="B1146" s="288" t="s">
        <v>3957</v>
      </c>
      <c r="C1146" s="292" t="s">
        <v>2661</v>
      </c>
      <c r="D1146" s="293">
        <v>14.78</v>
      </c>
      <c r="E1146" s="293">
        <v>2.1800000000000002</v>
      </c>
      <c r="F1146" s="293" t="s">
        <v>376</v>
      </c>
      <c r="G1146" s="293"/>
      <c r="H1146" s="296"/>
      <c r="I1146" s="288"/>
      <c r="J1146" s="288"/>
      <c r="K1146" s="288"/>
    </row>
    <row r="1147" spans="1:11">
      <c r="A1147" s="287"/>
      <c r="B1147" s="288" t="s">
        <v>3957</v>
      </c>
      <c r="C1147" s="292" t="s">
        <v>2662</v>
      </c>
      <c r="D1147" s="293">
        <v>16.03</v>
      </c>
      <c r="E1147" s="293">
        <v>2.2200000000000002</v>
      </c>
      <c r="F1147" s="293" t="s">
        <v>364</v>
      </c>
      <c r="G1147" s="293"/>
      <c r="H1147" s="296"/>
      <c r="I1147" s="288"/>
      <c r="J1147" s="288"/>
      <c r="K1147" s="288"/>
    </row>
    <row r="1148" spans="1:11">
      <c r="A1148" s="287"/>
      <c r="B1148" s="288" t="s">
        <v>3957</v>
      </c>
      <c r="C1148" s="292" t="s">
        <v>2663</v>
      </c>
      <c r="D1148" s="293">
        <v>17.07</v>
      </c>
      <c r="E1148" s="293">
        <v>2.39</v>
      </c>
      <c r="F1148" s="288" t="s">
        <v>2408</v>
      </c>
      <c r="G1148" s="293"/>
      <c r="H1148" s="296"/>
      <c r="I1148" s="288"/>
      <c r="J1148" s="288"/>
      <c r="K1148" s="288"/>
    </row>
    <row r="1149" spans="1:11">
      <c r="A1149" s="287"/>
      <c r="B1149" s="288" t="s">
        <v>3957</v>
      </c>
      <c r="C1149" s="292" t="s">
        <v>2664</v>
      </c>
      <c r="D1149" s="293">
        <v>19.91</v>
      </c>
      <c r="E1149" s="293">
        <v>2.95</v>
      </c>
      <c r="F1149" s="288" t="s">
        <v>2413</v>
      </c>
      <c r="G1149" s="288"/>
      <c r="I1149" s="293"/>
      <c r="J1149" s="293"/>
      <c r="K1149" s="293"/>
    </row>
    <row r="1150" spans="1:11">
      <c r="A1150" s="287"/>
      <c r="B1150" s="288" t="s">
        <v>3957</v>
      </c>
      <c r="C1150" s="292" t="s">
        <v>2665</v>
      </c>
      <c r="D1150" s="293">
        <v>20.57</v>
      </c>
      <c r="E1150" s="293">
        <v>2.76</v>
      </c>
      <c r="F1150" s="293" t="s">
        <v>2442</v>
      </c>
      <c r="G1150" s="288"/>
      <c r="I1150" s="293"/>
      <c r="J1150" s="293"/>
      <c r="K1150" s="293"/>
    </row>
    <row r="1151" spans="1:11">
      <c r="A1151" s="287"/>
      <c r="B1151" s="288" t="s">
        <v>3957</v>
      </c>
      <c r="C1151" s="292" t="s">
        <v>2666</v>
      </c>
      <c r="D1151" s="293">
        <v>11.28</v>
      </c>
      <c r="E1151" s="293">
        <v>1.6</v>
      </c>
      <c r="F1151" s="293" t="s">
        <v>3668</v>
      </c>
      <c r="G1151" s="288"/>
      <c r="I1151" s="293"/>
      <c r="J1151" s="293"/>
      <c r="K1151" s="293"/>
    </row>
    <row r="1152" spans="1:11">
      <c r="A1152" s="287"/>
      <c r="B1152" s="288" t="s">
        <v>3958</v>
      </c>
      <c r="C1152" s="292" t="s">
        <v>2670</v>
      </c>
      <c r="D1152" s="293">
        <v>9.5</v>
      </c>
      <c r="E1152" s="293">
        <v>1.63</v>
      </c>
      <c r="F1152" s="288" t="s">
        <v>2406</v>
      </c>
      <c r="G1152" s="288"/>
      <c r="I1152" s="293"/>
      <c r="J1152" s="293"/>
      <c r="K1152" s="293"/>
    </row>
    <row r="1153" spans="1:11">
      <c r="A1153" s="287"/>
      <c r="B1153" s="288" t="s">
        <v>3958</v>
      </c>
      <c r="C1153" s="292" t="s">
        <v>2671</v>
      </c>
      <c r="D1153" s="288" t="s">
        <v>2124</v>
      </c>
      <c r="E1153" s="293">
        <v>1.64</v>
      </c>
      <c r="F1153" s="288" t="s">
        <v>3647</v>
      </c>
      <c r="G1153" s="288"/>
      <c r="H1153" s="296"/>
      <c r="I1153" s="288"/>
      <c r="J1153" s="288"/>
      <c r="K1153" s="288"/>
    </row>
    <row r="1154" spans="1:11">
      <c r="A1154" s="287"/>
      <c r="B1154" s="288" t="s">
        <v>3958</v>
      </c>
      <c r="C1154" s="292" t="s">
        <v>2672</v>
      </c>
      <c r="D1154" s="293">
        <v>7.01</v>
      </c>
      <c r="E1154" s="293">
        <v>1.17</v>
      </c>
      <c r="F1154" s="293" t="s">
        <v>3618</v>
      </c>
      <c r="G1154" s="288"/>
      <c r="H1154" s="296"/>
      <c r="I1154" s="293"/>
      <c r="J1154" s="293"/>
      <c r="K1154" s="293"/>
    </row>
    <row r="1155" spans="1:11">
      <c r="A1155" s="287"/>
      <c r="B1155" s="288" t="s">
        <v>3959</v>
      </c>
      <c r="C1155" s="292" t="s">
        <v>2673</v>
      </c>
      <c r="D1155" s="293">
        <v>6.2</v>
      </c>
      <c r="E1155" s="288" t="s">
        <v>327</v>
      </c>
      <c r="F1155" s="293" t="s">
        <v>3069</v>
      </c>
      <c r="G1155" s="288"/>
      <c r="H1155" s="296"/>
      <c r="I1155" s="293"/>
      <c r="J1155" s="293"/>
      <c r="K1155" s="293"/>
    </row>
    <row r="1156" spans="1:11">
      <c r="A1156" s="287"/>
      <c r="B1156" s="288" t="s">
        <v>3959</v>
      </c>
      <c r="C1156" s="292" t="s">
        <v>2674</v>
      </c>
      <c r="D1156" s="288" t="s">
        <v>1283</v>
      </c>
      <c r="E1156" s="293">
        <v>1.62</v>
      </c>
      <c r="F1156" s="293" t="s">
        <v>2405</v>
      </c>
      <c r="G1156" s="288"/>
      <c r="H1156" s="296"/>
      <c r="I1156" s="293"/>
      <c r="J1156" s="293"/>
      <c r="K1156" s="293"/>
    </row>
    <row r="1157" spans="1:11">
      <c r="A1157" s="287"/>
      <c r="B1157" s="288" t="s">
        <v>3959</v>
      </c>
      <c r="C1157" s="292" t="s">
        <v>2675</v>
      </c>
      <c r="D1157" s="293">
        <v>8.09</v>
      </c>
      <c r="E1157" s="293">
        <v>1.52</v>
      </c>
      <c r="F1157" s="293" t="s">
        <v>2405</v>
      </c>
      <c r="G1157" s="288"/>
      <c r="I1157" s="288"/>
      <c r="J1157" s="288"/>
      <c r="K1157" s="288"/>
    </row>
    <row r="1158" spans="1:11">
      <c r="A1158" s="287"/>
      <c r="B1158" s="288" t="s">
        <v>3959</v>
      </c>
      <c r="C1158" s="292" t="s">
        <v>2676</v>
      </c>
      <c r="D1158" s="293">
        <v>9.94</v>
      </c>
      <c r="E1158" s="293">
        <v>1.88</v>
      </c>
      <c r="F1158" s="288" t="s">
        <v>2406</v>
      </c>
      <c r="G1158" s="288"/>
      <c r="H1158" s="296"/>
      <c r="I1158" s="288"/>
      <c r="J1158" s="288"/>
      <c r="K1158" s="288"/>
    </row>
    <row r="1159" spans="1:11">
      <c r="A1159" s="287"/>
      <c r="B1159" s="288" t="s">
        <v>3960</v>
      </c>
      <c r="C1159" s="292" t="s">
        <v>2677</v>
      </c>
      <c r="D1159" s="293">
        <v>7.97</v>
      </c>
      <c r="E1159" s="293">
        <v>1.22</v>
      </c>
      <c r="F1159" s="293" t="s">
        <v>2415</v>
      </c>
      <c r="G1159" s="293"/>
      <c r="H1159" s="296"/>
      <c r="I1159" s="293"/>
      <c r="J1159" s="293"/>
      <c r="K1159" s="293"/>
    </row>
    <row r="1160" spans="1:11">
      <c r="A1160" s="287"/>
      <c r="B1160" s="288" t="s">
        <v>3960</v>
      </c>
      <c r="C1160" s="292" t="s">
        <v>2678</v>
      </c>
      <c r="D1160" s="293">
        <v>11.96</v>
      </c>
      <c r="E1160" s="293">
        <v>1.4</v>
      </c>
      <c r="F1160" s="293" t="s">
        <v>2420</v>
      </c>
      <c r="G1160" s="293"/>
      <c r="H1160" s="296"/>
      <c r="I1160" s="288"/>
      <c r="J1160" s="288"/>
      <c r="K1160" s="288"/>
    </row>
    <row r="1161" spans="1:11">
      <c r="A1161" s="287"/>
      <c r="B1161" s="288" t="s">
        <v>3960</v>
      </c>
      <c r="C1161" s="292" t="s">
        <v>2679</v>
      </c>
      <c r="D1161" s="293">
        <v>9.1199999999999992</v>
      </c>
      <c r="E1161" s="293">
        <v>1.75</v>
      </c>
      <c r="F1161" s="293" t="s">
        <v>349</v>
      </c>
      <c r="G1161" s="293"/>
      <c r="I1161" s="288"/>
      <c r="J1161" s="288"/>
      <c r="K1161" s="288"/>
    </row>
    <row r="1162" spans="1:11">
      <c r="A1162" s="287"/>
      <c r="B1162" s="288" t="s">
        <v>3961</v>
      </c>
      <c r="C1162" s="292" t="s">
        <v>2680</v>
      </c>
      <c r="D1162" s="293">
        <v>10</v>
      </c>
      <c r="E1162" s="293">
        <v>2.11</v>
      </c>
      <c r="F1162" s="293" t="s">
        <v>344</v>
      </c>
      <c r="G1162" s="293"/>
      <c r="I1162" s="293"/>
      <c r="J1162" s="293"/>
      <c r="K1162" s="293"/>
    </row>
    <row r="1163" spans="1:11">
      <c r="A1163" s="287"/>
      <c r="B1163" s="288" t="s">
        <v>3961</v>
      </c>
      <c r="C1163" s="292" t="s">
        <v>2681</v>
      </c>
      <c r="D1163" s="293">
        <v>12.2</v>
      </c>
      <c r="E1163" s="293">
        <v>2.36</v>
      </c>
      <c r="F1163" s="293" t="s">
        <v>344</v>
      </c>
      <c r="G1163" s="293"/>
      <c r="H1163" s="296"/>
      <c r="I1163" s="293"/>
      <c r="J1163" s="293"/>
      <c r="K1163" s="293"/>
    </row>
    <row r="1164" spans="1:11">
      <c r="A1164" s="287"/>
      <c r="B1164" s="288" t="s">
        <v>3961</v>
      </c>
      <c r="C1164" s="292" t="s">
        <v>2682</v>
      </c>
      <c r="D1164" s="293">
        <v>14.3</v>
      </c>
      <c r="E1164" s="293">
        <v>2.78</v>
      </c>
      <c r="F1164" s="293" t="s">
        <v>344</v>
      </c>
      <c r="G1164" s="288"/>
      <c r="I1164" s="288"/>
      <c r="J1164" s="288"/>
      <c r="K1164" s="288"/>
    </row>
    <row r="1165" spans="1:11">
      <c r="A1165" s="287"/>
      <c r="B1165" s="288" t="s">
        <v>3962</v>
      </c>
      <c r="C1165" s="292" t="s">
        <v>2685</v>
      </c>
      <c r="D1165" s="293">
        <v>8.5</v>
      </c>
      <c r="E1165" s="293">
        <v>1.75</v>
      </c>
      <c r="F1165" s="288" t="s">
        <v>364</v>
      </c>
      <c r="G1165" s="288"/>
      <c r="I1165" s="293"/>
      <c r="J1165" s="293"/>
      <c r="K1165" s="293"/>
    </row>
    <row r="1166" spans="1:11">
      <c r="A1166" s="287"/>
      <c r="B1166" s="288" t="s">
        <v>3962</v>
      </c>
      <c r="C1166" s="292" t="s">
        <v>2686</v>
      </c>
      <c r="D1166" s="293">
        <v>10.5</v>
      </c>
      <c r="E1166" s="293">
        <v>2.8</v>
      </c>
      <c r="F1166" s="288" t="s">
        <v>334</v>
      </c>
      <c r="G1166" s="288"/>
      <c r="H1166" s="296"/>
      <c r="I1166" s="288"/>
      <c r="J1166" s="288"/>
      <c r="K1166" s="288"/>
    </row>
    <row r="1167" spans="1:11">
      <c r="A1167" s="287"/>
      <c r="B1167" s="288" t="s">
        <v>3962</v>
      </c>
      <c r="C1167" s="292" t="s">
        <v>468</v>
      </c>
      <c r="D1167" s="288" t="s">
        <v>1334</v>
      </c>
      <c r="E1167" s="288" t="s">
        <v>1731</v>
      </c>
      <c r="F1167" s="288" t="s">
        <v>2411</v>
      </c>
      <c r="G1167" s="288"/>
      <c r="H1167" s="296"/>
      <c r="I1167" s="293"/>
      <c r="J1167" s="293"/>
      <c r="K1167" s="288"/>
    </row>
    <row r="1168" spans="1:11">
      <c r="A1168" s="287"/>
      <c r="B1168" s="288" t="s">
        <v>3962</v>
      </c>
      <c r="C1168" s="292" t="s">
        <v>611</v>
      </c>
      <c r="D1168" s="288" t="s">
        <v>612</v>
      </c>
      <c r="E1168" s="288" t="s">
        <v>613</v>
      </c>
      <c r="F1168" s="288" t="s">
        <v>1154</v>
      </c>
      <c r="G1168" s="293"/>
      <c r="I1168" s="288"/>
      <c r="J1168" s="288"/>
      <c r="K1168" s="288"/>
    </row>
    <row r="1169" spans="1:11">
      <c r="A1169" s="287"/>
      <c r="B1169" s="288" t="s">
        <v>3962</v>
      </c>
      <c r="C1169" s="292" t="s">
        <v>4806</v>
      </c>
      <c r="D1169" s="288" t="s">
        <v>4807</v>
      </c>
      <c r="E1169" s="288" t="s">
        <v>4808</v>
      </c>
      <c r="F1169" s="288" t="s">
        <v>2143</v>
      </c>
      <c r="G1169" s="293"/>
      <c r="H1169" s="296"/>
      <c r="I1169" s="288"/>
      <c r="J1169" s="288"/>
      <c r="K1169" s="288"/>
    </row>
    <row r="1170" spans="1:11">
      <c r="A1170" s="287"/>
      <c r="B1170" s="288" t="s">
        <v>3963</v>
      </c>
      <c r="C1170" s="292" t="s">
        <v>2688</v>
      </c>
      <c r="D1170" s="293">
        <v>7.65</v>
      </c>
      <c r="E1170" s="293">
        <v>1.83</v>
      </c>
      <c r="F1170" s="293" t="s">
        <v>2406</v>
      </c>
      <c r="G1170" s="293"/>
      <c r="I1170" s="293"/>
      <c r="J1170" s="293"/>
      <c r="K1170" s="293"/>
    </row>
    <row r="1171" spans="1:11">
      <c r="A1171" s="287"/>
      <c r="B1171" s="288" t="s">
        <v>3963</v>
      </c>
      <c r="C1171" s="292" t="s">
        <v>2689</v>
      </c>
      <c r="D1171" s="293">
        <v>8.5399999999999991</v>
      </c>
      <c r="E1171" s="293">
        <v>1.96</v>
      </c>
      <c r="F1171" s="293" t="s">
        <v>376</v>
      </c>
      <c r="G1171" s="293"/>
      <c r="H1171" s="296"/>
      <c r="I1171" s="288"/>
      <c r="J1171" s="288"/>
      <c r="K1171" s="288"/>
    </row>
    <row r="1172" spans="1:11">
      <c r="A1172" s="287"/>
      <c r="B1172" s="288" t="s">
        <v>3964</v>
      </c>
      <c r="C1172" s="292" t="s">
        <v>2691</v>
      </c>
      <c r="D1172" s="293">
        <v>11.58</v>
      </c>
      <c r="E1172" s="293">
        <v>2.2999999999999998</v>
      </c>
      <c r="F1172" s="293" t="s">
        <v>364</v>
      </c>
      <c r="G1172" s="288"/>
      <c r="I1172" s="288"/>
      <c r="J1172" s="288"/>
      <c r="K1172" s="288"/>
    </row>
    <row r="1173" spans="1:11">
      <c r="A1173" s="287"/>
      <c r="B1173" s="288" t="s">
        <v>3964</v>
      </c>
      <c r="C1173" s="292" t="s">
        <v>2692</v>
      </c>
      <c r="D1173" s="293">
        <v>12.86</v>
      </c>
      <c r="E1173" s="293">
        <v>2.63</v>
      </c>
      <c r="F1173" s="288" t="s">
        <v>2427</v>
      </c>
      <c r="G1173" s="293"/>
      <c r="I1173" s="293"/>
      <c r="J1173" s="293"/>
      <c r="K1173" s="293"/>
    </row>
    <row r="1174" spans="1:11">
      <c r="A1174" s="287"/>
      <c r="B1174" s="288" t="s">
        <v>3965</v>
      </c>
      <c r="C1174" s="292" t="s">
        <v>2694</v>
      </c>
      <c r="D1174" s="293">
        <v>6.67</v>
      </c>
      <c r="E1174" s="293">
        <v>1.35</v>
      </c>
      <c r="F1174" s="293" t="s">
        <v>350</v>
      </c>
      <c r="G1174" s="293"/>
      <c r="H1174" s="296"/>
      <c r="I1174" s="288"/>
      <c r="J1174" s="288"/>
      <c r="K1174" s="288"/>
    </row>
    <row r="1175" spans="1:11">
      <c r="A1175" s="287"/>
      <c r="B1175" s="288" t="s">
        <v>3965</v>
      </c>
      <c r="C1175" s="292" t="s">
        <v>2695</v>
      </c>
      <c r="D1175" s="293">
        <v>9.34</v>
      </c>
      <c r="E1175" s="293">
        <v>1.77</v>
      </c>
      <c r="F1175" s="293" t="s">
        <v>3616</v>
      </c>
      <c r="G1175" s="293"/>
      <c r="I1175" s="288"/>
      <c r="J1175" s="288"/>
      <c r="K1175" s="288"/>
    </row>
    <row r="1176" spans="1:11">
      <c r="A1176" s="287"/>
      <c r="B1176" s="288" t="s">
        <v>3966</v>
      </c>
      <c r="C1176" s="292" t="s">
        <v>1838</v>
      </c>
      <c r="D1176" s="293">
        <v>8.43</v>
      </c>
      <c r="E1176" s="293">
        <v>1.74</v>
      </c>
      <c r="F1176" s="293" t="s">
        <v>2404</v>
      </c>
      <c r="G1176" s="288"/>
      <c r="I1176" s="288"/>
      <c r="J1176" s="288"/>
      <c r="K1176" s="288"/>
    </row>
    <row r="1177" spans="1:11">
      <c r="A1177" s="287"/>
      <c r="B1177" s="288" t="s">
        <v>3966</v>
      </c>
      <c r="C1177" s="292" t="s">
        <v>1839</v>
      </c>
      <c r="D1177" s="293">
        <v>11.58</v>
      </c>
      <c r="E1177" s="293">
        <v>2.2999999999999998</v>
      </c>
      <c r="F1177" s="293" t="s">
        <v>364</v>
      </c>
      <c r="G1177" s="288"/>
      <c r="H1177" s="296"/>
      <c r="I1177" s="288"/>
      <c r="J1177" s="288"/>
      <c r="K1177" s="288"/>
    </row>
    <row r="1178" spans="1:11">
      <c r="A1178" s="287"/>
      <c r="B1178" s="288" t="s">
        <v>3967</v>
      </c>
      <c r="C1178" s="292" t="s">
        <v>1842</v>
      </c>
      <c r="D1178" s="288" t="s">
        <v>2145</v>
      </c>
      <c r="E1178" s="293">
        <v>1.42</v>
      </c>
      <c r="F1178" s="293" t="s">
        <v>2415</v>
      </c>
      <c r="G1178" s="293"/>
      <c r="I1178" s="288"/>
      <c r="J1178" s="288"/>
      <c r="K1178" s="288"/>
    </row>
    <row r="1179" spans="1:11">
      <c r="A1179" s="287"/>
      <c r="B1179" s="288" t="s">
        <v>3967</v>
      </c>
      <c r="C1179" s="292" t="s">
        <v>1843</v>
      </c>
      <c r="D1179" s="293">
        <v>10.93</v>
      </c>
      <c r="E1179" s="288" t="s">
        <v>327</v>
      </c>
      <c r="F1179" s="293" t="s">
        <v>2418</v>
      </c>
      <c r="G1179" s="288"/>
      <c r="I1179" s="288"/>
      <c r="J1179" s="288"/>
      <c r="K1179" s="288"/>
    </row>
    <row r="1180" spans="1:11">
      <c r="A1180" s="287"/>
      <c r="B1180" s="288" t="s">
        <v>3967</v>
      </c>
      <c r="C1180" s="292" t="s">
        <v>1844</v>
      </c>
      <c r="D1180" s="293">
        <v>10.93</v>
      </c>
      <c r="E1180" s="293">
        <v>1.6</v>
      </c>
      <c r="F1180" s="293" t="s">
        <v>2418</v>
      </c>
      <c r="G1180" s="288"/>
      <c r="I1180" s="288"/>
      <c r="J1180" s="288"/>
      <c r="K1180" s="288"/>
    </row>
    <row r="1181" spans="1:11">
      <c r="A1181" s="287"/>
      <c r="B1181" s="288" t="s">
        <v>3967</v>
      </c>
      <c r="C1181" s="292" t="s">
        <v>1845</v>
      </c>
      <c r="D1181" s="293">
        <v>11.45</v>
      </c>
      <c r="E1181" s="293">
        <v>1.62</v>
      </c>
      <c r="F1181" s="293" t="s">
        <v>350</v>
      </c>
      <c r="G1181" s="293"/>
      <c r="I1181" s="288"/>
      <c r="J1181" s="288"/>
      <c r="K1181" s="288"/>
    </row>
    <row r="1182" spans="1:11">
      <c r="A1182" s="287"/>
      <c r="B1182" s="288" t="s">
        <v>3967</v>
      </c>
      <c r="C1182" s="292" t="s">
        <v>1846</v>
      </c>
      <c r="D1182" s="293">
        <v>12.5</v>
      </c>
      <c r="E1182" s="293">
        <v>1.8</v>
      </c>
      <c r="F1182" s="293" t="s">
        <v>2422</v>
      </c>
      <c r="G1182" s="293"/>
      <c r="I1182" s="288"/>
      <c r="J1182" s="288"/>
      <c r="K1182" s="288"/>
    </row>
    <row r="1183" spans="1:11">
      <c r="A1183" s="287"/>
      <c r="B1183" s="288" t="s">
        <v>2298</v>
      </c>
      <c r="C1183" s="292" t="s">
        <v>1847</v>
      </c>
      <c r="D1183" s="293">
        <v>7.48</v>
      </c>
      <c r="E1183" s="293">
        <v>1.65</v>
      </c>
      <c r="F1183" s="293" t="s">
        <v>2410</v>
      </c>
      <c r="G1183" s="288"/>
      <c r="I1183" s="288"/>
      <c r="J1183" s="288"/>
      <c r="K1183" s="288"/>
    </row>
    <row r="1184" spans="1:11">
      <c r="A1184" s="287"/>
      <c r="B1184" s="288" t="s">
        <v>2298</v>
      </c>
      <c r="C1184" s="292" t="s">
        <v>4042</v>
      </c>
      <c r="D1184" s="293">
        <v>9.5500000000000007</v>
      </c>
      <c r="E1184" s="293">
        <v>1.65</v>
      </c>
      <c r="F1184" s="293" t="s">
        <v>366</v>
      </c>
      <c r="G1184" s="293"/>
      <c r="I1184" s="288"/>
      <c r="J1184" s="288"/>
      <c r="K1184" s="288"/>
    </row>
    <row r="1185" spans="1:11">
      <c r="A1185" s="287"/>
      <c r="B1185" s="288" t="s">
        <v>2298</v>
      </c>
      <c r="C1185" s="292" t="s">
        <v>1848</v>
      </c>
      <c r="D1185" s="293">
        <v>9.59</v>
      </c>
      <c r="E1185" s="293">
        <v>1.9</v>
      </c>
      <c r="F1185" s="288" t="s">
        <v>2410</v>
      </c>
      <c r="G1185" s="288"/>
      <c r="I1185" s="288"/>
      <c r="J1185" s="288"/>
      <c r="K1185" s="288"/>
    </row>
    <row r="1186" spans="1:11">
      <c r="A1186" s="287"/>
      <c r="B1186" s="288" t="s">
        <v>3968</v>
      </c>
      <c r="C1186" s="292" t="s">
        <v>1849</v>
      </c>
      <c r="D1186" s="293">
        <v>7.3</v>
      </c>
      <c r="E1186" s="293">
        <v>1.45</v>
      </c>
      <c r="F1186" s="293" t="s">
        <v>2420</v>
      </c>
      <c r="G1186" s="293"/>
      <c r="I1186" s="288"/>
      <c r="J1186" s="288"/>
      <c r="K1186" s="288"/>
    </row>
    <row r="1187" spans="1:11">
      <c r="A1187" s="287"/>
      <c r="B1187" s="288" t="s">
        <v>3968</v>
      </c>
      <c r="C1187" s="292" t="s">
        <v>4044</v>
      </c>
      <c r="D1187" s="293">
        <v>7.56</v>
      </c>
      <c r="E1187" s="293">
        <v>1.1000000000000001</v>
      </c>
      <c r="F1187" s="293" t="s">
        <v>2420</v>
      </c>
      <c r="G1187" s="288"/>
      <c r="I1187" s="288"/>
      <c r="J1187" s="288"/>
      <c r="K1187" s="288"/>
    </row>
    <row r="1188" spans="1:11">
      <c r="A1188" s="287"/>
      <c r="B1188" s="288" t="s">
        <v>3968</v>
      </c>
      <c r="C1188" s="292" t="s">
        <v>4043</v>
      </c>
      <c r="D1188" s="293">
        <v>7.56</v>
      </c>
      <c r="E1188" s="293">
        <v>1.55</v>
      </c>
      <c r="F1188" s="293" t="s">
        <v>2420</v>
      </c>
      <c r="G1188" s="288"/>
      <c r="I1188" s="288"/>
      <c r="J1188" s="288"/>
      <c r="K1188" s="288"/>
    </row>
    <row r="1189" spans="1:11">
      <c r="A1189" s="287"/>
      <c r="B1189" s="288" t="s">
        <v>3969</v>
      </c>
      <c r="C1189" s="292" t="s">
        <v>1854</v>
      </c>
      <c r="D1189" s="288" t="s">
        <v>1286</v>
      </c>
      <c r="E1189" s="293">
        <v>2.33</v>
      </c>
      <c r="F1189" s="293" t="s">
        <v>352</v>
      </c>
      <c r="G1189" s="293"/>
      <c r="I1189" s="288"/>
      <c r="J1189" s="288"/>
      <c r="K1189" s="288"/>
    </row>
    <row r="1190" spans="1:11">
      <c r="A1190" s="287"/>
      <c r="B1190" s="288" t="s">
        <v>3969</v>
      </c>
      <c r="C1190" s="292" t="s">
        <v>1855</v>
      </c>
      <c r="D1190" s="293">
        <v>7.8</v>
      </c>
      <c r="E1190" s="293">
        <v>1.43</v>
      </c>
      <c r="F1190" s="293" t="s">
        <v>2435</v>
      </c>
      <c r="G1190" s="288"/>
      <c r="I1190" s="293"/>
      <c r="J1190" s="293"/>
      <c r="K1190" s="293"/>
    </row>
    <row r="1191" spans="1:11">
      <c r="A1191" s="287"/>
      <c r="B1191" s="288" t="s">
        <v>3969</v>
      </c>
      <c r="C1191" s="292" t="s">
        <v>4045</v>
      </c>
      <c r="D1191" s="288" t="s">
        <v>1287</v>
      </c>
      <c r="E1191" s="293">
        <v>1.88</v>
      </c>
      <c r="F1191" s="293" t="s">
        <v>3616</v>
      </c>
      <c r="G1191" s="288"/>
      <c r="I1191" s="288"/>
      <c r="J1191" s="288"/>
      <c r="K1191" s="288"/>
    </row>
    <row r="1192" spans="1:11">
      <c r="A1192" s="287"/>
      <c r="B1192" s="288" t="s">
        <v>3970</v>
      </c>
      <c r="C1192" s="292" t="s">
        <v>1857</v>
      </c>
      <c r="D1192" s="293">
        <v>7.09</v>
      </c>
      <c r="E1192" s="293">
        <v>1.47</v>
      </c>
      <c r="F1192" s="293" t="s">
        <v>3638</v>
      </c>
      <c r="G1192" s="293"/>
      <c r="I1192" s="288"/>
      <c r="J1192" s="288"/>
      <c r="K1192" s="288"/>
    </row>
    <row r="1193" spans="1:11">
      <c r="A1193" s="287"/>
      <c r="B1193" s="288" t="s">
        <v>3970</v>
      </c>
      <c r="C1193" s="292" t="s">
        <v>1858</v>
      </c>
      <c r="D1193" s="293">
        <v>8.5</v>
      </c>
      <c r="E1193" s="293">
        <v>1.5</v>
      </c>
      <c r="F1193" s="293" t="s">
        <v>2418</v>
      </c>
      <c r="G1193" s="288"/>
      <c r="I1193" s="293"/>
      <c r="J1193" s="293"/>
      <c r="K1193" s="293"/>
    </row>
    <row r="1194" spans="1:11">
      <c r="A1194" s="287"/>
      <c r="B1194" s="288" t="s">
        <v>3971</v>
      </c>
      <c r="C1194" s="292" t="s">
        <v>1860</v>
      </c>
      <c r="D1194" s="293">
        <v>7.44</v>
      </c>
      <c r="E1194" s="293">
        <v>1.5</v>
      </c>
      <c r="F1194" s="288" t="s">
        <v>2413</v>
      </c>
      <c r="G1194" s="288"/>
      <c r="H1194" s="296"/>
      <c r="I1194" s="288"/>
      <c r="J1194" s="288"/>
      <c r="K1194" s="288"/>
    </row>
    <row r="1195" spans="1:11">
      <c r="A1195" s="287"/>
      <c r="B1195" s="288" t="s">
        <v>3971</v>
      </c>
      <c r="C1195" s="292" t="s">
        <v>1861</v>
      </c>
      <c r="D1195" s="293">
        <v>10.72</v>
      </c>
      <c r="E1195" s="293">
        <v>1.68</v>
      </c>
      <c r="F1195" s="293" t="s">
        <v>2435</v>
      </c>
      <c r="G1195" s="288"/>
      <c r="I1195" s="293"/>
      <c r="J1195" s="293"/>
      <c r="K1195" s="293"/>
    </row>
    <row r="1196" spans="1:11">
      <c r="A1196" s="287"/>
      <c r="B1196" s="288" t="s">
        <v>3971</v>
      </c>
      <c r="C1196" s="292" t="s">
        <v>1862</v>
      </c>
      <c r="D1196" s="293">
        <v>12.81</v>
      </c>
      <c r="E1196" s="293">
        <v>1.89</v>
      </c>
      <c r="F1196" s="293" t="s">
        <v>2409</v>
      </c>
      <c r="G1196" s="288"/>
      <c r="I1196" s="288"/>
      <c r="J1196" s="288"/>
      <c r="K1196" s="288"/>
    </row>
    <row r="1197" spans="1:11">
      <c r="A1197" s="287"/>
      <c r="B1197" s="288" t="s">
        <v>3972</v>
      </c>
      <c r="C1197" s="292" t="s">
        <v>1863</v>
      </c>
      <c r="D1197" s="293">
        <v>9.2200000000000006</v>
      </c>
      <c r="E1197" s="293">
        <v>1.63</v>
      </c>
      <c r="F1197" s="293" t="s">
        <v>2415</v>
      </c>
      <c r="G1197" s="288"/>
      <c r="H1197" s="296"/>
      <c r="I1197" s="288"/>
      <c r="J1197" s="288"/>
      <c r="K1197" s="288"/>
    </row>
    <row r="1198" spans="1:11">
      <c r="A1198" s="287"/>
      <c r="B1198" s="288" t="s">
        <v>3972</v>
      </c>
      <c r="C1198" s="292" t="s">
        <v>1864</v>
      </c>
      <c r="D1198" s="293">
        <v>9.75</v>
      </c>
      <c r="E1198" s="293">
        <v>2.8</v>
      </c>
      <c r="F1198" s="293" t="s">
        <v>2408</v>
      </c>
      <c r="G1198" s="288"/>
      <c r="I1198" s="293"/>
      <c r="J1198" s="293"/>
      <c r="K1198" s="288"/>
    </row>
    <row r="1199" spans="1:11">
      <c r="A1199" s="287"/>
      <c r="B1199" s="288" t="s">
        <v>3972</v>
      </c>
      <c r="C1199" s="292" t="s">
        <v>1865</v>
      </c>
      <c r="D1199" s="293">
        <v>10.09</v>
      </c>
      <c r="E1199" s="293">
        <v>1.92</v>
      </c>
      <c r="F1199" s="293" t="s">
        <v>336</v>
      </c>
      <c r="G1199" s="288"/>
      <c r="H1199" s="296"/>
      <c r="I1199" s="293"/>
      <c r="J1199" s="293"/>
      <c r="K1199" s="293"/>
    </row>
    <row r="1200" spans="1:11">
      <c r="A1200" s="287"/>
      <c r="B1200" s="288" t="s">
        <v>3972</v>
      </c>
      <c r="C1200" s="292" t="s">
        <v>1866</v>
      </c>
      <c r="D1200" s="293">
        <v>10.07</v>
      </c>
      <c r="E1200" s="293">
        <v>1.9</v>
      </c>
      <c r="F1200" s="293" t="s">
        <v>336</v>
      </c>
      <c r="G1200" s="288"/>
      <c r="I1200" s="288"/>
      <c r="J1200" s="288"/>
      <c r="K1200" s="288"/>
    </row>
    <row r="1201" spans="1:11">
      <c r="A1201" s="287"/>
      <c r="B1201" s="288" t="s">
        <v>3972</v>
      </c>
      <c r="C1201" s="292" t="s">
        <v>1867</v>
      </c>
      <c r="D1201" s="293">
        <v>10.82</v>
      </c>
      <c r="E1201" s="293">
        <v>1.98</v>
      </c>
      <c r="F1201" s="293" t="s">
        <v>3616</v>
      </c>
      <c r="G1201" s="288"/>
      <c r="I1201" s="293"/>
      <c r="J1201" s="293"/>
      <c r="K1201" s="293"/>
    </row>
    <row r="1202" spans="1:11">
      <c r="A1202" s="287"/>
      <c r="B1202" s="288" t="s">
        <v>3972</v>
      </c>
      <c r="C1202" s="292" t="s">
        <v>1868</v>
      </c>
      <c r="D1202" s="293">
        <v>14.34</v>
      </c>
      <c r="E1202" s="293">
        <v>1.85</v>
      </c>
      <c r="F1202" s="293" t="s">
        <v>3616</v>
      </c>
      <c r="G1202" s="288"/>
      <c r="H1202" s="296"/>
      <c r="I1202" s="293"/>
      <c r="J1202" s="293"/>
      <c r="K1202" s="293"/>
    </row>
    <row r="1203" spans="1:11">
      <c r="A1203" s="287"/>
      <c r="B1203" s="288" t="s">
        <v>3973</v>
      </c>
      <c r="C1203" s="292" t="s">
        <v>1873</v>
      </c>
      <c r="D1203" s="293">
        <v>10.41</v>
      </c>
      <c r="E1203" s="293">
        <v>1.82</v>
      </c>
      <c r="F1203" s="293" t="s">
        <v>350</v>
      </c>
      <c r="G1203" s="288"/>
      <c r="H1203" s="296"/>
      <c r="I1203" s="288"/>
      <c r="J1203" s="288"/>
      <c r="K1203" s="288"/>
    </row>
    <row r="1204" spans="1:11">
      <c r="A1204" s="287"/>
      <c r="B1204" s="288" t="s">
        <v>3973</v>
      </c>
      <c r="C1204" s="292" t="s">
        <v>1874</v>
      </c>
      <c r="D1204" s="288" t="s">
        <v>1288</v>
      </c>
      <c r="E1204" s="293">
        <v>1.98</v>
      </c>
      <c r="F1204" s="288" t="s">
        <v>2406</v>
      </c>
      <c r="G1204" s="288"/>
      <c r="I1204" s="288"/>
      <c r="J1204" s="288"/>
      <c r="K1204" s="288"/>
    </row>
    <row r="1205" spans="1:11">
      <c r="A1205" s="287"/>
      <c r="B1205" s="288" t="s">
        <v>3973</v>
      </c>
      <c r="C1205" s="292" t="s">
        <v>1875</v>
      </c>
      <c r="D1205" s="293">
        <v>11.78</v>
      </c>
      <c r="E1205" s="293">
        <v>2.08</v>
      </c>
      <c r="F1205" s="293" t="s">
        <v>3616</v>
      </c>
      <c r="G1205" s="288"/>
      <c r="H1205" s="296"/>
      <c r="I1205" s="293"/>
      <c r="J1205" s="293"/>
      <c r="K1205" s="293"/>
    </row>
    <row r="1206" spans="1:11">
      <c r="A1206" s="287"/>
      <c r="B1206" s="288" t="s">
        <v>3973</v>
      </c>
      <c r="C1206" s="292" t="s">
        <v>1876</v>
      </c>
      <c r="D1206" s="293">
        <v>11.76</v>
      </c>
      <c r="E1206" s="293">
        <v>2.08</v>
      </c>
      <c r="F1206" s="293" t="s">
        <v>344</v>
      </c>
      <c r="G1206" s="288"/>
      <c r="H1206" s="296"/>
      <c r="I1206" s="288"/>
      <c r="J1206" s="288"/>
      <c r="K1206" s="288"/>
    </row>
    <row r="1207" spans="1:11">
      <c r="A1207" s="287"/>
      <c r="B1207" s="288" t="s">
        <v>3973</v>
      </c>
      <c r="C1207" s="292" t="s">
        <v>1877</v>
      </c>
      <c r="D1207" s="293">
        <v>12.93</v>
      </c>
      <c r="E1207" s="293">
        <v>1.53</v>
      </c>
      <c r="F1207" s="293" t="s">
        <v>2406</v>
      </c>
      <c r="G1207" s="288"/>
      <c r="I1207" s="288"/>
      <c r="J1207" s="288"/>
      <c r="K1207" s="288"/>
    </row>
    <row r="1208" spans="1:11">
      <c r="A1208" s="287"/>
      <c r="B1208" s="288" t="s">
        <v>3973</v>
      </c>
      <c r="C1208" s="292" t="s">
        <v>1878</v>
      </c>
      <c r="D1208" s="288" t="s">
        <v>1261</v>
      </c>
      <c r="E1208" s="293">
        <v>2.08</v>
      </c>
      <c r="F1208" s="293" t="s">
        <v>2424</v>
      </c>
      <c r="G1208" s="288"/>
      <c r="I1208" s="288"/>
      <c r="J1208" s="288"/>
      <c r="K1208" s="288"/>
    </row>
    <row r="1209" spans="1:11">
      <c r="A1209" s="287"/>
      <c r="B1209" s="288" t="s">
        <v>3973</v>
      </c>
      <c r="C1209" s="292" t="s">
        <v>1879</v>
      </c>
      <c r="D1209" s="288" t="s">
        <v>2054</v>
      </c>
      <c r="E1209" s="288" t="s">
        <v>327</v>
      </c>
      <c r="F1209" s="293" t="s">
        <v>2442</v>
      </c>
      <c r="G1209" s="293"/>
      <c r="H1209" s="296"/>
      <c r="I1209" s="293"/>
      <c r="J1209" s="293"/>
      <c r="K1209" s="293"/>
    </row>
    <row r="1210" spans="1:11">
      <c r="A1210" s="287"/>
      <c r="B1210" s="288" t="s">
        <v>3973</v>
      </c>
      <c r="C1210" s="292" t="s">
        <v>1880</v>
      </c>
      <c r="D1210" s="288" t="s">
        <v>1289</v>
      </c>
      <c r="E1210" s="293">
        <v>2.36</v>
      </c>
      <c r="F1210" s="293" t="s">
        <v>2409</v>
      </c>
      <c r="G1210" s="288"/>
      <c r="I1210" s="293"/>
      <c r="J1210" s="293"/>
      <c r="K1210" s="293"/>
    </row>
    <row r="1211" spans="1:11">
      <c r="A1211" s="287"/>
      <c r="B1211" s="288" t="s">
        <v>3974</v>
      </c>
      <c r="C1211" s="292" t="s">
        <v>4047</v>
      </c>
      <c r="D1211" s="293">
        <v>7.32</v>
      </c>
      <c r="E1211" s="293">
        <v>1.1599999999999999</v>
      </c>
      <c r="F1211" s="293" t="s">
        <v>2422</v>
      </c>
      <c r="G1211" s="288"/>
      <c r="I1211" s="288"/>
      <c r="J1211" s="288"/>
      <c r="K1211" s="288"/>
    </row>
    <row r="1212" spans="1:11">
      <c r="A1212" s="287"/>
      <c r="B1212" s="288" t="s">
        <v>3974</v>
      </c>
      <c r="C1212" s="292" t="s">
        <v>4046</v>
      </c>
      <c r="D1212" s="293">
        <v>7.32</v>
      </c>
      <c r="E1212" s="293">
        <v>1.45</v>
      </c>
      <c r="F1212" s="293" t="s">
        <v>2422</v>
      </c>
      <c r="G1212" s="293"/>
      <c r="I1212" s="293"/>
      <c r="J1212" s="293"/>
      <c r="K1212" s="288"/>
    </row>
    <row r="1213" spans="1:11">
      <c r="A1213" s="287"/>
      <c r="B1213" s="288" t="s">
        <v>3974</v>
      </c>
      <c r="C1213" s="292" t="s">
        <v>4049</v>
      </c>
      <c r="D1213" s="288" t="s">
        <v>1290</v>
      </c>
      <c r="E1213" s="293">
        <v>1.1599999999999999</v>
      </c>
      <c r="F1213" s="293" t="s">
        <v>3616</v>
      </c>
      <c r="G1213" s="288"/>
      <c r="H1213" s="296"/>
      <c r="I1213" s="288"/>
      <c r="J1213" s="288"/>
      <c r="K1213" s="288"/>
    </row>
    <row r="1214" spans="1:11">
      <c r="A1214" s="287"/>
      <c r="B1214" s="288" t="s">
        <v>3974</v>
      </c>
      <c r="C1214" s="292" t="s">
        <v>4048</v>
      </c>
      <c r="D1214" s="288" t="s">
        <v>1290</v>
      </c>
      <c r="E1214" s="293">
        <v>1.42</v>
      </c>
      <c r="F1214" s="293" t="s">
        <v>3616</v>
      </c>
      <c r="G1214" s="293"/>
      <c r="H1214" s="296"/>
      <c r="I1214" s="288"/>
      <c r="J1214" s="288"/>
      <c r="K1214" s="288"/>
    </row>
    <row r="1215" spans="1:11">
      <c r="A1215" s="287"/>
      <c r="B1215" s="288" t="s">
        <v>3974</v>
      </c>
      <c r="C1215" s="292" t="s">
        <v>1881</v>
      </c>
      <c r="D1215" s="293">
        <v>8.67</v>
      </c>
      <c r="E1215" s="293">
        <v>1.52</v>
      </c>
      <c r="F1215" s="293" t="s">
        <v>2435</v>
      </c>
      <c r="G1215" s="288"/>
      <c r="I1215" s="293"/>
      <c r="J1215" s="293"/>
      <c r="K1215" s="293"/>
    </row>
    <row r="1216" spans="1:11">
      <c r="A1216" s="287"/>
      <c r="B1216" s="288" t="s">
        <v>3974</v>
      </c>
      <c r="C1216" s="292" t="s">
        <v>1882</v>
      </c>
      <c r="D1216" s="293">
        <v>8.89</v>
      </c>
      <c r="E1216" s="293">
        <v>1.35</v>
      </c>
      <c r="F1216" s="293" t="s">
        <v>2410</v>
      </c>
      <c r="G1216" s="288"/>
      <c r="H1216" s="296"/>
      <c r="I1216" s="288"/>
      <c r="J1216" s="288"/>
      <c r="K1216" s="288"/>
    </row>
    <row r="1217" spans="1:11">
      <c r="A1217" s="287"/>
      <c r="B1217" s="288" t="s">
        <v>3974</v>
      </c>
      <c r="C1217" s="292" t="s">
        <v>4051</v>
      </c>
      <c r="D1217" s="288" t="s">
        <v>2040</v>
      </c>
      <c r="E1217" s="293">
        <v>1.37</v>
      </c>
      <c r="F1217" s="293" t="s">
        <v>2418</v>
      </c>
      <c r="G1217" s="293"/>
      <c r="I1217" s="293"/>
      <c r="J1217" s="293"/>
      <c r="K1217" s="293"/>
    </row>
    <row r="1218" spans="1:11">
      <c r="A1218" s="287"/>
      <c r="B1218" s="288" t="s">
        <v>3974</v>
      </c>
      <c r="C1218" s="292" t="s">
        <v>4050</v>
      </c>
      <c r="D1218" s="293">
        <v>9.4499999999999993</v>
      </c>
      <c r="E1218" s="293">
        <v>1.78</v>
      </c>
      <c r="F1218" s="293" t="s">
        <v>2418</v>
      </c>
      <c r="G1218" s="293"/>
      <c r="I1218" s="288"/>
      <c r="J1218" s="288"/>
      <c r="K1218" s="288"/>
    </row>
    <row r="1219" spans="1:11">
      <c r="A1219" s="287"/>
      <c r="B1219" s="288" t="s">
        <v>3974</v>
      </c>
      <c r="C1219" s="292" t="s">
        <v>1883</v>
      </c>
      <c r="D1219" s="293">
        <v>9.4499999999999993</v>
      </c>
      <c r="E1219" s="293">
        <v>1.22</v>
      </c>
      <c r="F1219" s="293" t="s">
        <v>2418</v>
      </c>
      <c r="G1219" s="288"/>
      <c r="H1219" s="296"/>
      <c r="I1219" s="293"/>
      <c r="J1219" s="293"/>
      <c r="K1219" s="293"/>
    </row>
    <row r="1220" spans="1:11">
      <c r="A1220" s="287"/>
      <c r="B1220" s="288" t="s">
        <v>3974</v>
      </c>
      <c r="C1220" s="292" t="s">
        <v>1884</v>
      </c>
      <c r="D1220" s="293">
        <v>9.4499999999999993</v>
      </c>
      <c r="E1220" s="288" t="s">
        <v>327</v>
      </c>
      <c r="F1220" s="293" t="s">
        <v>2418</v>
      </c>
      <c r="G1220" s="293"/>
      <c r="I1220" s="293"/>
      <c r="J1220" s="293"/>
      <c r="K1220" s="293"/>
    </row>
    <row r="1221" spans="1:11">
      <c r="A1221" s="287"/>
      <c r="B1221" s="288" t="s">
        <v>3974</v>
      </c>
      <c r="C1221" s="292" t="s">
        <v>1885</v>
      </c>
      <c r="D1221" s="293">
        <v>10.62</v>
      </c>
      <c r="E1221" s="293">
        <v>1.76</v>
      </c>
      <c r="F1221" s="293" t="s">
        <v>3668</v>
      </c>
      <c r="G1221" s="293"/>
      <c r="H1221" s="296"/>
      <c r="I1221" s="293"/>
      <c r="J1221" s="293"/>
      <c r="K1221" s="293"/>
    </row>
    <row r="1222" spans="1:11">
      <c r="A1222" s="287"/>
      <c r="B1222" s="288" t="s">
        <v>3975</v>
      </c>
      <c r="C1222" s="292" t="s">
        <v>1886</v>
      </c>
      <c r="D1222" s="293">
        <v>9.93</v>
      </c>
      <c r="E1222" s="293">
        <v>2.12</v>
      </c>
      <c r="F1222" s="288" t="s">
        <v>334</v>
      </c>
      <c r="G1222" s="288"/>
      <c r="I1222" s="293"/>
      <c r="J1222" s="293"/>
      <c r="K1222" s="293"/>
    </row>
    <row r="1223" spans="1:11">
      <c r="A1223" s="287"/>
      <c r="B1223" s="288" t="s">
        <v>3975</v>
      </c>
      <c r="C1223" s="292" t="s">
        <v>469</v>
      </c>
      <c r="D1223" s="288" t="s">
        <v>470</v>
      </c>
      <c r="E1223" s="288" t="s">
        <v>471</v>
      </c>
      <c r="F1223" s="288" t="s">
        <v>3089</v>
      </c>
      <c r="G1223" s="288"/>
      <c r="H1223" s="296"/>
      <c r="I1223" s="293"/>
      <c r="J1223" s="293"/>
      <c r="K1223" s="293"/>
    </row>
    <row r="1224" spans="1:11">
      <c r="A1224" s="287"/>
      <c r="B1224" s="288" t="s">
        <v>3975</v>
      </c>
      <c r="C1224" s="292" t="s">
        <v>1887</v>
      </c>
      <c r="D1224" s="293">
        <v>11.29</v>
      </c>
      <c r="E1224" s="293">
        <v>2.2799999999999998</v>
      </c>
      <c r="F1224" s="288" t="s">
        <v>2412</v>
      </c>
      <c r="G1224" s="293"/>
      <c r="H1224" s="296"/>
      <c r="I1224" s="293"/>
      <c r="J1224" s="293"/>
      <c r="K1224" s="293"/>
    </row>
    <row r="1225" spans="1:11">
      <c r="A1225" s="287"/>
      <c r="B1225" s="288" t="s">
        <v>3975</v>
      </c>
      <c r="C1225" s="292" t="s">
        <v>1888</v>
      </c>
      <c r="D1225" s="293">
        <v>11.99</v>
      </c>
      <c r="E1225" s="293">
        <v>2.34</v>
      </c>
      <c r="F1225" s="293" t="s">
        <v>344</v>
      </c>
      <c r="G1225" s="288"/>
      <c r="H1225" s="296"/>
      <c r="I1225" s="293"/>
      <c r="J1225" s="293"/>
      <c r="K1225" s="293"/>
    </row>
    <row r="1226" spans="1:11">
      <c r="A1226" s="287"/>
      <c r="B1226" s="288" t="s">
        <v>3975</v>
      </c>
      <c r="C1226" s="292" t="s">
        <v>473</v>
      </c>
      <c r="D1226" s="293">
        <v>12.5</v>
      </c>
      <c r="E1226" s="288" t="s">
        <v>474</v>
      </c>
      <c r="F1226" s="288" t="s">
        <v>337</v>
      </c>
      <c r="G1226" s="288"/>
      <c r="H1226" s="296"/>
      <c r="I1226" s="288"/>
      <c r="J1226" s="288"/>
      <c r="K1226" s="288"/>
    </row>
    <row r="1227" spans="1:11">
      <c r="A1227" s="287"/>
      <c r="B1227" s="288" t="s">
        <v>3975</v>
      </c>
      <c r="C1227" s="292" t="s">
        <v>472</v>
      </c>
      <c r="D1227" s="288" t="s">
        <v>1316</v>
      </c>
      <c r="E1227" s="288" t="s">
        <v>1703</v>
      </c>
      <c r="F1227" s="288" t="s">
        <v>337</v>
      </c>
      <c r="G1227" s="288"/>
      <c r="H1227" s="296"/>
      <c r="I1227" s="288"/>
      <c r="J1227" s="288"/>
      <c r="K1227" s="288"/>
    </row>
    <row r="1228" spans="1:11">
      <c r="A1228" s="287"/>
      <c r="B1228" s="288" t="s">
        <v>3975</v>
      </c>
      <c r="C1228" s="292" t="s">
        <v>1431</v>
      </c>
      <c r="D1228" s="293">
        <v>12.8</v>
      </c>
      <c r="E1228" s="293">
        <v>2.25</v>
      </c>
      <c r="F1228" s="288" t="s">
        <v>2413</v>
      </c>
      <c r="G1228" s="293"/>
      <c r="H1228" s="296"/>
      <c r="I1228" s="288"/>
      <c r="J1228" s="288"/>
      <c r="K1228" s="288"/>
    </row>
    <row r="1229" spans="1:11">
      <c r="A1229" s="287"/>
      <c r="B1229" s="288" t="s">
        <v>3975</v>
      </c>
      <c r="C1229" s="292" t="s">
        <v>1432</v>
      </c>
      <c r="D1229" s="293">
        <v>12.8</v>
      </c>
      <c r="E1229" s="293">
        <v>2.5</v>
      </c>
      <c r="F1229" s="288" t="s">
        <v>2413</v>
      </c>
      <c r="G1229" s="293"/>
      <c r="H1229" s="296"/>
      <c r="I1229" s="293"/>
      <c r="J1229" s="293"/>
      <c r="K1229" s="293"/>
    </row>
    <row r="1230" spans="1:11">
      <c r="A1230" s="287"/>
      <c r="B1230" s="288" t="s">
        <v>3975</v>
      </c>
      <c r="C1230" s="292" t="s">
        <v>1889</v>
      </c>
      <c r="D1230" s="293">
        <v>12.8</v>
      </c>
      <c r="E1230" s="293">
        <v>2.46</v>
      </c>
      <c r="F1230" s="288" t="s">
        <v>2411</v>
      </c>
      <c r="G1230" s="288"/>
      <c r="I1230" s="288"/>
      <c r="J1230" s="288"/>
      <c r="K1230" s="288"/>
    </row>
    <row r="1231" spans="1:11">
      <c r="A1231" s="287"/>
      <c r="B1231" s="288" t="s">
        <v>3975</v>
      </c>
      <c r="C1231" s="292" t="s">
        <v>475</v>
      </c>
      <c r="D1231" s="288" t="s">
        <v>459</v>
      </c>
      <c r="E1231" s="288" t="s">
        <v>439</v>
      </c>
      <c r="F1231" s="288" t="s">
        <v>2411</v>
      </c>
      <c r="G1231" s="293"/>
      <c r="I1231" s="288"/>
      <c r="J1231" s="288"/>
      <c r="K1231" s="288"/>
    </row>
    <row r="1232" spans="1:11">
      <c r="A1232" s="287"/>
      <c r="B1232" s="288" t="s">
        <v>3975</v>
      </c>
      <c r="C1232" s="292" t="s">
        <v>1890</v>
      </c>
      <c r="D1232" s="293">
        <v>13.55</v>
      </c>
      <c r="E1232" s="293">
        <v>2.54</v>
      </c>
      <c r="F1232" s="293" t="s">
        <v>2410</v>
      </c>
      <c r="G1232" s="288"/>
      <c r="I1232" s="293"/>
      <c r="J1232" s="293"/>
      <c r="K1232" s="293"/>
    </row>
    <row r="1233" spans="1:11">
      <c r="A1233" s="287"/>
      <c r="B1233" s="288" t="s">
        <v>737</v>
      </c>
      <c r="C1233" s="292" t="s">
        <v>1891</v>
      </c>
      <c r="D1233" s="293">
        <v>11.3</v>
      </c>
      <c r="E1233" s="293">
        <v>2.2999999999999998</v>
      </c>
      <c r="F1233" s="288" t="s">
        <v>334</v>
      </c>
      <c r="G1233" s="288"/>
      <c r="H1233" s="296"/>
      <c r="I1233" s="293"/>
      <c r="J1233" s="293"/>
      <c r="K1233" s="293"/>
    </row>
    <row r="1234" spans="1:11">
      <c r="A1234" s="287"/>
      <c r="B1234" s="288" t="s">
        <v>737</v>
      </c>
      <c r="C1234" s="292" t="s">
        <v>1433</v>
      </c>
      <c r="D1234" s="293">
        <v>16.16</v>
      </c>
      <c r="E1234" s="293">
        <v>2.75</v>
      </c>
      <c r="F1234" s="288" t="s">
        <v>3647</v>
      </c>
      <c r="G1234" s="293"/>
      <c r="I1234" s="293"/>
      <c r="J1234" s="293"/>
      <c r="K1234" s="293"/>
    </row>
    <row r="1235" spans="1:11">
      <c r="A1235" s="287"/>
      <c r="B1235" s="288" t="s">
        <v>737</v>
      </c>
      <c r="C1235" s="292" t="s">
        <v>1434</v>
      </c>
      <c r="D1235" s="293">
        <v>16.16</v>
      </c>
      <c r="E1235" s="293">
        <v>3.34</v>
      </c>
      <c r="F1235" s="288" t="s">
        <v>3647</v>
      </c>
      <c r="G1235" s="288"/>
      <c r="I1235" s="293"/>
      <c r="J1235" s="293"/>
      <c r="K1235" s="293"/>
    </row>
    <row r="1236" spans="1:11">
      <c r="A1236" s="287"/>
      <c r="B1236" s="288" t="s">
        <v>739</v>
      </c>
      <c r="C1236" s="292" t="s">
        <v>1892</v>
      </c>
      <c r="D1236" s="288" t="s">
        <v>2106</v>
      </c>
      <c r="E1236" s="293">
        <v>1.92</v>
      </c>
      <c r="F1236" s="293" t="s">
        <v>2418</v>
      </c>
      <c r="G1236" s="293"/>
      <c r="H1236" s="296"/>
      <c r="I1236" s="293"/>
      <c r="J1236" s="293"/>
      <c r="K1236" s="293"/>
    </row>
    <row r="1237" spans="1:11">
      <c r="A1237" s="287"/>
      <c r="B1237" s="288" t="s">
        <v>738</v>
      </c>
      <c r="C1237" s="292" t="s">
        <v>1893</v>
      </c>
      <c r="D1237" s="293">
        <v>8.84</v>
      </c>
      <c r="E1237" s="293">
        <v>1.7</v>
      </c>
      <c r="F1237" s="293" t="s">
        <v>366</v>
      </c>
      <c r="G1237" s="288"/>
      <c r="H1237" s="296"/>
      <c r="I1237" s="293"/>
      <c r="J1237" s="293"/>
      <c r="K1237" s="293"/>
    </row>
    <row r="1238" spans="1:11">
      <c r="A1238" s="287"/>
      <c r="B1238" s="288" t="s">
        <v>738</v>
      </c>
      <c r="C1238" s="292" t="s">
        <v>1894</v>
      </c>
      <c r="D1238" s="293">
        <v>10.08</v>
      </c>
      <c r="E1238" s="293">
        <v>2.08</v>
      </c>
      <c r="F1238" s="293" t="s">
        <v>2409</v>
      </c>
      <c r="G1238" s="293"/>
      <c r="H1238" s="296"/>
      <c r="I1238" s="288"/>
      <c r="J1238" s="288"/>
      <c r="K1238" s="288"/>
    </row>
    <row r="1239" spans="1:11">
      <c r="A1239" s="287"/>
      <c r="B1239" s="288" t="s">
        <v>740</v>
      </c>
      <c r="C1239" s="292" t="s">
        <v>1895</v>
      </c>
      <c r="D1239" s="293">
        <v>10.1</v>
      </c>
      <c r="E1239" s="293">
        <v>1.75</v>
      </c>
      <c r="F1239" s="293" t="s">
        <v>2418</v>
      </c>
      <c r="G1239" s="293"/>
      <c r="H1239" s="296"/>
      <c r="I1239" s="288"/>
      <c r="J1239" s="288"/>
      <c r="K1239" s="288"/>
    </row>
    <row r="1240" spans="1:11">
      <c r="A1240" s="287"/>
      <c r="B1240" s="288" t="s">
        <v>740</v>
      </c>
      <c r="C1240" s="292" t="s">
        <v>1896</v>
      </c>
      <c r="D1240" s="293">
        <v>12.24</v>
      </c>
      <c r="E1240" s="293">
        <v>2</v>
      </c>
      <c r="F1240" s="293" t="s">
        <v>2442</v>
      </c>
      <c r="G1240" s="293"/>
      <c r="H1240" s="296"/>
      <c r="I1240" s="288"/>
      <c r="J1240" s="288"/>
      <c r="K1240" s="288"/>
    </row>
    <row r="1241" spans="1:11">
      <c r="A1241" s="287"/>
      <c r="B1241" s="288" t="s">
        <v>741</v>
      </c>
      <c r="C1241" s="292" t="s">
        <v>1898</v>
      </c>
      <c r="D1241" s="293">
        <v>10.67</v>
      </c>
      <c r="E1241" s="293">
        <v>2.09</v>
      </c>
      <c r="F1241" s="293" t="s">
        <v>328</v>
      </c>
      <c r="G1241" s="293"/>
      <c r="H1241" s="296"/>
      <c r="I1241" s="288"/>
      <c r="J1241" s="288"/>
      <c r="K1241" s="288"/>
    </row>
    <row r="1242" spans="1:11">
      <c r="A1242" s="287"/>
      <c r="B1242" s="288" t="s">
        <v>741</v>
      </c>
      <c r="C1242" s="292" t="s">
        <v>1899</v>
      </c>
      <c r="D1242" s="293">
        <v>12.19</v>
      </c>
      <c r="E1242" s="293">
        <v>2.41</v>
      </c>
      <c r="F1242" s="293" t="s">
        <v>2408</v>
      </c>
      <c r="G1242" s="293"/>
      <c r="I1242" s="293"/>
      <c r="J1242" s="293"/>
      <c r="K1242" s="293"/>
    </row>
    <row r="1243" spans="1:11">
      <c r="A1243" s="287" t="s">
        <v>2407</v>
      </c>
      <c r="B1243" s="288" t="s">
        <v>742</v>
      </c>
      <c r="C1243" s="292" t="s">
        <v>268</v>
      </c>
      <c r="D1243" s="293">
        <v>9.5</v>
      </c>
      <c r="E1243" s="293">
        <v>2.06</v>
      </c>
      <c r="F1243" s="288" t="s">
        <v>364</v>
      </c>
      <c r="G1243" s="293"/>
      <c r="I1243" s="293"/>
      <c r="J1243" s="293"/>
      <c r="K1243" s="293"/>
    </row>
    <row r="1244" spans="1:11">
      <c r="A1244" s="287"/>
      <c r="B1244" s="288" t="s">
        <v>742</v>
      </c>
      <c r="C1244" s="292" t="s">
        <v>269</v>
      </c>
      <c r="D1244" s="293">
        <v>9.99</v>
      </c>
      <c r="E1244" s="293">
        <v>2.1</v>
      </c>
      <c r="F1244" s="288" t="s">
        <v>2424</v>
      </c>
      <c r="G1244" s="293"/>
      <c r="I1244" s="288"/>
      <c r="J1244" s="288"/>
      <c r="K1244" s="288"/>
    </row>
    <row r="1245" spans="1:11">
      <c r="A1245" s="287"/>
      <c r="B1245" s="288" t="s">
        <v>743</v>
      </c>
      <c r="C1245" s="292" t="s">
        <v>270</v>
      </c>
      <c r="D1245" s="293">
        <v>9.51</v>
      </c>
      <c r="E1245" s="293">
        <v>1.97</v>
      </c>
      <c r="F1245" s="293" t="s">
        <v>2406</v>
      </c>
      <c r="G1245" s="288"/>
      <c r="I1245" s="293"/>
      <c r="J1245" s="293"/>
      <c r="K1245" s="293"/>
    </row>
    <row r="1246" spans="1:11">
      <c r="A1246" s="287"/>
      <c r="B1246" s="288" t="s">
        <v>743</v>
      </c>
      <c r="C1246" s="292" t="s">
        <v>271</v>
      </c>
      <c r="D1246" s="293">
        <v>10.98</v>
      </c>
      <c r="E1246" s="293">
        <v>2.2599999999999998</v>
      </c>
      <c r="F1246" s="293" t="s">
        <v>2410</v>
      </c>
      <c r="G1246" s="288"/>
      <c r="H1246" s="296"/>
      <c r="I1246" s="293"/>
      <c r="J1246" s="293"/>
      <c r="K1246" s="293"/>
    </row>
    <row r="1247" spans="1:11">
      <c r="A1247" s="287" t="s">
        <v>2407</v>
      </c>
      <c r="B1247" s="288" t="s">
        <v>743</v>
      </c>
      <c r="C1247" s="292" t="s">
        <v>272</v>
      </c>
      <c r="D1247" s="293">
        <v>11.08</v>
      </c>
      <c r="E1247" s="293">
        <v>2.1</v>
      </c>
      <c r="F1247" s="288" t="s">
        <v>334</v>
      </c>
      <c r="G1247" s="288"/>
      <c r="H1247" s="296"/>
      <c r="I1247" s="293"/>
      <c r="J1247" s="293"/>
      <c r="K1247" s="293"/>
    </row>
    <row r="1248" spans="1:11">
      <c r="A1248" s="287"/>
      <c r="B1248" s="288" t="s">
        <v>743</v>
      </c>
      <c r="C1248" s="292" t="s">
        <v>273</v>
      </c>
      <c r="D1248" s="288" t="s">
        <v>2121</v>
      </c>
      <c r="E1248" s="293">
        <v>2.25</v>
      </c>
      <c r="F1248" s="288" t="s">
        <v>2410</v>
      </c>
      <c r="G1248" s="293"/>
      <c r="I1248" s="293"/>
      <c r="J1248" s="293"/>
      <c r="K1248" s="293"/>
    </row>
    <row r="1249" spans="1:11">
      <c r="A1249" s="287"/>
      <c r="B1249" s="288" t="s">
        <v>744</v>
      </c>
      <c r="C1249" s="292" t="s">
        <v>277</v>
      </c>
      <c r="D1249" s="293">
        <v>9.01</v>
      </c>
      <c r="E1249" s="293">
        <v>1.71</v>
      </c>
      <c r="F1249" s="293" t="s">
        <v>3638</v>
      </c>
      <c r="G1249" s="288"/>
      <c r="H1249" s="296"/>
      <c r="I1249" s="288"/>
      <c r="J1249" s="288"/>
      <c r="K1249" s="288"/>
    </row>
    <row r="1250" spans="1:11">
      <c r="A1250" s="287"/>
      <c r="B1250" s="288" t="s">
        <v>744</v>
      </c>
      <c r="C1250" s="292" t="s">
        <v>278</v>
      </c>
      <c r="D1250" s="293">
        <v>9.01</v>
      </c>
      <c r="E1250" s="293">
        <v>1.73</v>
      </c>
      <c r="F1250" s="293" t="s">
        <v>3638</v>
      </c>
      <c r="G1250" s="288"/>
      <c r="H1250" s="296"/>
      <c r="I1250" s="293"/>
      <c r="J1250" s="293"/>
      <c r="K1250" s="293"/>
    </row>
    <row r="1251" spans="1:11">
      <c r="A1251" s="287"/>
      <c r="B1251" s="288" t="s">
        <v>744</v>
      </c>
      <c r="C1251" s="292" t="s">
        <v>279</v>
      </c>
      <c r="D1251" s="293">
        <v>9.01</v>
      </c>
      <c r="E1251" s="293">
        <v>1.73</v>
      </c>
      <c r="F1251" s="293" t="s">
        <v>3638</v>
      </c>
      <c r="G1251" s="293"/>
      <c r="H1251" s="296"/>
      <c r="I1251" s="288"/>
      <c r="J1251" s="288"/>
      <c r="K1251" s="288"/>
    </row>
    <row r="1252" spans="1:11">
      <c r="A1252" s="287"/>
      <c r="B1252" s="288" t="s">
        <v>744</v>
      </c>
      <c r="C1252" s="292" t="s">
        <v>280</v>
      </c>
      <c r="D1252" s="288" t="s">
        <v>2053</v>
      </c>
      <c r="E1252" s="293">
        <v>1.69</v>
      </c>
      <c r="F1252" s="293" t="s">
        <v>3638</v>
      </c>
      <c r="G1252" s="293"/>
      <c r="H1252" s="296"/>
      <c r="I1252" s="288"/>
      <c r="J1252" s="288"/>
      <c r="K1252" s="288"/>
    </row>
    <row r="1253" spans="1:11">
      <c r="A1253" s="287"/>
      <c r="B1253" s="288" t="s">
        <v>745</v>
      </c>
      <c r="C1253" s="292" t="s">
        <v>281</v>
      </c>
      <c r="D1253" s="293">
        <v>7.84</v>
      </c>
      <c r="E1253" s="293">
        <v>1.44</v>
      </c>
      <c r="F1253" s="293" t="s">
        <v>2415</v>
      </c>
      <c r="G1253" s="293"/>
      <c r="I1253" s="288"/>
      <c r="J1253" s="288"/>
      <c r="K1253" s="288"/>
    </row>
    <row r="1254" spans="1:11">
      <c r="A1254" s="287"/>
      <c r="B1254" s="288" t="s">
        <v>745</v>
      </c>
      <c r="C1254" s="292" t="s">
        <v>282</v>
      </c>
      <c r="D1254" s="293">
        <v>9.5</v>
      </c>
      <c r="E1254" s="293">
        <v>1.62</v>
      </c>
      <c r="F1254" s="293" t="s">
        <v>2439</v>
      </c>
      <c r="G1254" s="293"/>
      <c r="H1254" s="296"/>
      <c r="I1254" s="288"/>
      <c r="J1254" s="288"/>
      <c r="K1254" s="288"/>
    </row>
    <row r="1255" spans="1:11">
      <c r="A1255" s="287"/>
      <c r="B1255" s="288" t="s">
        <v>745</v>
      </c>
      <c r="C1255" s="292" t="s">
        <v>283</v>
      </c>
      <c r="D1255" s="293">
        <v>10.82</v>
      </c>
      <c r="E1255" s="293">
        <v>1.93</v>
      </c>
      <c r="F1255" s="293" t="s">
        <v>3638</v>
      </c>
      <c r="G1255" s="293"/>
      <c r="I1255" s="288"/>
      <c r="J1255" s="288"/>
      <c r="K1255" s="288"/>
    </row>
    <row r="1256" spans="1:11">
      <c r="A1256" s="287"/>
      <c r="B1256" s="288" t="s">
        <v>746</v>
      </c>
      <c r="C1256" s="292" t="s">
        <v>284</v>
      </c>
      <c r="D1256" s="293">
        <v>8.84</v>
      </c>
      <c r="E1256" s="293">
        <v>1.55</v>
      </c>
      <c r="F1256" s="293" t="s">
        <v>2415</v>
      </c>
      <c r="G1256" s="293"/>
      <c r="I1256" s="288"/>
      <c r="J1256" s="288"/>
      <c r="K1256" s="288"/>
    </row>
    <row r="1257" spans="1:11">
      <c r="A1257" s="287"/>
      <c r="B1257" s="288" t="s">
        <v>746</v>
      </c>
      <c r="C1257" s="292" t="s">
        <v>285</v>
      </c>
      <c r="D1257" s="288" t="s">
        <v>1291</v>
      </c>
      <c r="E1257" s="293">
        <v>2.35</v>
      </c>
      <c r="F1257" s="288" t="s">
        <v>2410</v>
      </c>
      <c r="G1257" s="288"/>
      <c r="I1257" s="288"/>
      <c r="J1257" s="288"/>
      <c r="K1257" s="288"/>
    </row>
    <row r="1258" spans="1:11">
      <c r="A1258" s="287"/>
      <c r="B1258" s="288" t="s">
        <v>747</v>
      </c>
      <c r="C1258" s="292" t="s">
        <v>286</v>
      </c>
      <c r="D1258" s="293">
        <v>8.8699999999999992</v>
      </c>
      <c r="E1258" s="293">
        <v>1.68</v>
      </c>
      <c r="F1258" s="293" t="s">
        <v>328</v>
      </c>
      <c r="G1258" s="288"/>
      <c r="I1258" s="293"/>
      <c r="J1258" s="293"/>
      <c r="K1258" s="293"/>
    </row>
    <row r="1259" spans="1:11">
      <c r="A1259" s="287"/>
      <c r="B1259" s="288" t="s">
        <v>747</v>
      </c>
      <c r="C1259" s="292" t="s">
        <v>817</v>
      </c>
      <c r="D1259" s="293">
        <v>9.8699999999999992</v>
      </c>
      <c r="E1259" s="293">
        <v>1.83</v>
      </c>
      <c r="F1259" s="293" t="s">
        <v>2418</v>
      </c>
      <c r="G1259" s="288"/>
      <c r="I1259" s="288"/>
      <c r="J1259" s="288"/>
      <c r="K1259" s="288"/>
    </row>
    <row r="1260" spans="1:11">
      <c r="A1260" s="287"/>
      <c r="B1260" s="288" t="s">
        <v>747</v>
      </c>
      <c r="C1260" s="292" t="s">
        <v>287</v>
      </c>
      <c r="D1260" s="293">
        <v>10.74</v>
      </c>
      <c r="E1260" s="293">
        <v>1.83</v>
      </c>
      <c r="F1260" s="293" t="s">
        <v>2405</v>
      </c>
      <c r="G1260" s="288"/>
      <c r="I1260" s="288"/>
      <c r="J1260" s="288"/>
      <c r="K1260" s="288"/>
    </row>
    <row r="1261" spans="1:11">
      <c r="A1261" s="287"/>
      <c r="B1261" s="288" t="s">
        <v>747</v>
      </c>
      <c r="C1261" s="292" t="s">
        <v>288</v>
      </c>
      <c r="D1261" s="293">
        <v>10.98</v>
      </c>
      <c r="E1261" s="293">
        <v>1.96</v>
      </c>
      <c r="F1261" s="293" t="s">
        <v>2435</v>
      </c>
      <c r="G1261" s="293"/>
      <c r="I1261" s="288"/>
      <c r="J1261" s="288"/>
      <c r="K1261" s="288"/>
    </row>
    <row r="1262" spans="1:11">
      <c r="A1262" s="287"/>
      <c r="B1262" s="288" t="s">
        <v>747</v>
      </c>
      <c r="C1262" s="292" t="s">
        <v>289</v>
      </c>
      <c r="D1262" s="288" t="s">
        <v>2121</v>
      </c>
      <c r="E1262" s="293">
        <v>1.86</v>
      </c>
      <c r="F1262" s="293" t="s">
        <v>2435</v>
      </c>
      <c r="G1262" s="293"/>
      <c r="H1262" s="296"/>
      <c r="I1262" s="288"/>
      <c r="J1262" s="288"/>
      <c r="K1262" s="288"/>
    </row>
    <row r="1263" spans="1:11">
      <c r="A1263" s="287"/>
      <c r="B1263" s="288" t="s">
        <v>747</v>
      </c>
      <c r="C1263" s="292" t="s">
        <v>818</v>
      </c>
      <c r="D1263" s="293">
        <v>11.55</v>
      </c>
      <c r="E1263" s="293">
        <v>2.08</v>
      </c>
      <c r="F1263" s="293" t="s">
        <v>347</v>
      </c>
      <c r="G1263" s="288"/>
      <c r="I1263" s="288"/>
      <c r="J1263" s="288"/>
      <c r="K1263" s="288"/>
    </row>
    <row r="1264" spans="1:11">
      <c r="A1264" s="287"/>
      <c r="B1264" s="288" t="s">
        <v>747</v>
      </c>
      <c r="C1264" s="292" t="s">
        <v>290</v>
      </c>
      <c r="D1264" s="293">
        <v>12.27</v>
      </c>
      <c r="E1264" s="293">
        <v>2.33</v>
      </c>
      <c r="F1264" s="293" t="s">
        <v>330</v>
      </c>
      <c r="G1264" s="293"/>
      <c r="I1264" s="293"/>
      <c r="J1264" s="293"/>
      <c r="K1264" s="293"/>
    </row>
    <row r="1265" spans="1:11">
      <c r="A1265" s="287" t="s">
        <v>2407</v>
      </c>
      <c r="B1265" s="288" t="s">
        <v>747</v>
      </c>
      <c r="C1265" s="292" t="s">
        <v>291</v>
      </c>
      <c r="D1265" s="293">
        <v>12.42</v>
      </c>
      <c r="E1265" s="293">
        <v>2.2400000000000002</v>
      </c>
      <c r="F1265" s="293" t="s">
        <v>349</v>
      </c>
      <c r="G1265" s="293"/>
      <c r="I1265" s="288"/>
      <c r="J1265" s="288"/>
      <c r="K1265" s="288"/>
    </row>
    <row r="1266" spans="1:11">
      <c r="A1266" s="287"/>
      <c r="B1266" s="288" t="s">
        <v>748</v>
      </c>
      <c r="C1266" s="292" t="s">
        <v>303</v>
      </c>
      <c r="D1266" s="293">
        <v>9.75</v>
      </c>
      <c r="E1266" s="288" t="s">
        <v>327</v>
      </c>
      <c r="F1266" s="293" t="s">
        <v>328</v>
      </c>
      <c r="G1266" s="293"/>
      <c r="I1266" s="288"/>
      <c r="J1266" s="288"/>
      <c r="K1266" s="288"/>
    </row>
    <row r="1267" spans="1:11">
      <c r="A1267" s="287"/>
      <c r="B1267" s="288" t="s">
        <v>748</v>
      </c>
      <c r="C1267" s="292" t="s">
        <v>304</v>
      </c>
      <c r="D1267" s="293">
        <v>10.8</v>
      </c>
      <c r="E1267" s="288" t="s">
        <v>327</v>
      </c>
      <c r="F1267" s="293" t="s">
        <v>2418</v>
      </c>
      <c r="G1267" s="293"/>
      <c r="I1267" s="288"/>
      <c r="J1267" s="288"/>
      <c r="K1267" s="288"/>
    </row>
    <row r="1268" spans="1:11">
      <c r="A1268" s="287"/>
      <c r="B1268" s="288" t="s">
        <v>748</v>
      </c>
      <c r="C1268" s="292" t="s">
        <v>305</v>
      </c>
      <c r="D1268" s="293">
        <v>10.82</v>
      </c>
      <c r="E1268" s="293">
        <v>2.1800000000000002</v>
      </c>
      <c r="F1268" s="293" t="s">
        <v>364</v>
      </c>
      <c r="G1268" s="288"/>
      <c r="H1268" s="296"/>
      <c r="I1268" s="288"/>
      <c r="J1268" s="288"/>
      <c r="K1268" s="288"/>
    </row>
    <row r="1269" spans="1:11">
      <c r="A1269" s="287"/>
      <c r="B1269" s="288" t="s">
        <v>748</v>
      </c>
      <c r="C1269" s="292" t="s">
        <v>306</v>
      </c>
      <c r="D1269" s="293">
        <v>10.73</v>
      </c>
      <c r="E1269" s="288" t="s">
        <v>327</v>
      </c>
      <c r="F1269" s="293" t="s">
        <v>3616</v>
      </c>
      <c r="G1269" s="293"/>
      <c r="I1269" s="288"/>
      <c r="J1269" s="288"/>
      <c r="K1269" s="288"/>
    </row>
    <row r="1270" spans="1:11">
      <c r="A1270" s="287"/>
      <c r="B1270" s="288" t="s">
        <v>748</v>
      </c>
      <c r="C1270" s="292" t="s">
        <v>307</v>
      </c>
      <c r="D1270" s="293">
        <v>13.86</v>
      </c>
      <c r="E1270" s="288" t="s">
        <v>327</v>
      </c>
      <c r="F1270" s="293" t="s">
        <v>344</v>
      </c>
      <c r="G1270" s="288"/>
      <c r="I1270" s="288"/>
      <c r="J1270" s="288"/>
      <c r="K1270" s="288"/>
    </row>
    <row r="1271" spans="1:11">
      <c r="A1271" s="287"/>
      <c r="B1271" s="288" t="s">
        <v>748</v>
      </c>
      <c r="C1271" s="292" t="s">
        <v>308</v>
      </c>
      <c r="D1271" s="293">
        <v>10.54</v>
      </c>
      <c r="E1271" s="288" t="s">
        <v>327</v>
      </c>
      <c r="F1271" s="293" t="s">
        <v>344</v>
      </c>
      <c r="G1271" s="288"/>
      <c r="I1271" s="288"/>
      <c r="J1271" s="288"/>
      <c r="K1271" s="288"/>
    </row>
    <row r="1272" spans="1:11">
      <c r="A1272" s="287"/>
      <c r="B1272" s="288" t="s">
        <v>476</v>
      </c>
      <c r="C1272" s="292" t="s">
        <v>477</v>
      </c>
      <c r="D1272" s="288" t="s">
        <v>478</v>
      </c>
      <c r="E1272" s="288" t="s">
        <v>462</v>
      </c>
      <c r="F1272" s="288" t="s">
        <v>3089</v>
      </c>
      <c r="G1272" s="288"/>
      <c r="I1272" s="288"/>
      <c r="J1272" s="288"/>
      <c r="K1272" s="288"/>
    </row>
    <row r="1273" spans="1:11">
      <c r="A1273" s="287"/>
      <c r="B1273" s="288" t="s">
        <v>476</v>
      </c>
      <c r="C1273" s="292" t="s">
        <v>481</v>
      </c>
      <c r="D1273" s="288" t="s">
        <v>479</v>
      </c>
      <c r="E1273" s="288" t="s">
        <v>480</v>
      </c>
      <c r="F1273" s="288" t="s">
        <v>334</v>
      </c>
      <c r="G1273" s="288"/>
      <c r="I1273" s="288"/>
      <c r="J1273" s="288"/>
      <c r="K1273" s="288"/>
    </row>
    <row r="1274" spans="1:11">
      <c r="A1274" s="287"/>
      <c r="B1274" s="288" t="s">
        <v>749</v>
      </c>
      <c r="C1274" s="292" t="s">
        <v>312</v>
      </c>
      <c r="D1274" s="293">
        <v>11.01</v>
      </c>
      <c r="E1274" s="293">
        <v>1.78</v>
      </c>
      <c r="F1274" s="293" t="s">
        <v>376</v>
      </c>
      <c r="G1274" s="288"/>
      <c r="I1274" s="293"/>
      <c r="J1274" s="293"/>
      <c r="K1274" s="293"/>
    </row>
    <row r="1275" spans="1:11">
      <c r="A1275" s="287"/>
      <c r="B1275" s="288" t="s">
        <v>749</v>
      </c>
      <c r="C1275" s="292" t="s">
        <v>313</v>
      </c>
      <c r="D1275" s="293">
        <v>10.82</v>
      </c>
      <c r="E1275" s="293">
        <v>1.95</v>
      </c>
      <c r="F1275" s="293" t="s">
        <v>366</v>
      </c>
      <c r="G1275" s="288"/>
      <c r="I1275" s="293"/>
      <c r="J1275" s="293"/>
      <c r="K1275" s="293"/>
    </row>
    <row r="1276" spans="1:11">
      <c r="A1276" s="287"/>
      <c r="B1276" s="288" t="s">
        <v>749</v>
      </c>
      <c r="C1276" s="292" t="s">
        <v>314</v>
      </c>
      <c r="D1276" s="293">
        <v>12.84</v>
      </c>
      <c r="E1276" s="293">
        <v>1.79</v>
      </c>
      <c r="F1276" s="288" t="s">
        <v>2409</v>
      </c>
      <c r="G1276" s="288"/>
      <c r="I1276" s="288"/>
      <c r="J1276" s="288"/>
      <c r="K1276" s="288"/>
    </row>
    <row r="1277" spans="1:11">
      <c r="A1277" s="287"/>
      <c r="B1277" s="288" t="s">
        <v>749</v>
      </c>
      <c r="C1277" s="292" t="s">
        <v>315</v>
      </c>
      <c r="D1277" s="288" t="s">
        <v>1294</v>
      </c>
      <c r="E1277" s="293">
        <v>1.98</v>
      </c>
      <c r="F1277" s="293" t="s">
        <v>2404</v>
      </c>
      <c r="G1277" s="293"/>
      <c r="I1277" s="288"/>
      <c r="J1277" s="288"/>
      <c r="K1277" s="288"/>
    </row>
    <row r="1278" spans="1:11">
      <c r="A1278" s="287"/>
      <c r="B1278" s="288" t="s">
        <v>749</v>
      </c>
      <c r="C1278" s="292" t="s">
        <v>316</v>
      </c>
      <c r="D1278" s="293">
        <v>14.15</v>
      </c>
      <c r="E1278" s="293">
        <v>2.1</v>
      </c>
      <c r="F1278" s="293" t="s">
        <v>2410</v>
      </c>
      <c r="G1278" s="288"/>
      <c r="H1278" s="296"/>
      <c r="I1278" s="288"/>
      <c r="J1278" s="288"/>
      <c r="K1278" s="288"/>
    </row>
    <row r="1279" spans="1:11">
      <c r="A1279" s="287"/>
      <c r="B1279" s="288" t="s">
        <v>749</v>
      </c>
      <c r="C1279" s="292" t="s">
        <v>4809</v>
      </c>
      <c r="D1279" s="288" t="s">
        <v>4810</v>
      </c>
      <c r="E1279" s="288" t="s">
        <v>474</v>
      </c>
      <c r="F1279" s="288" t="s">
        <v>2143</v>
      </c>
      <c r="G1279" s="288"/>
      <c r="H1279" s="296"/>
      <c r="I1279" s="288"/>
      <c r="J1279" s="288"/>
      <c r="K1279" s="288"/>
    </row>
    <row r="1280" spans="1:11">
      <c r="A1280" s="287"/>
      <c r="B1280" s="288" t="s">
        <v>750</v>
      </c>
      <c r="C1280" s="292" t="s">
        <v>318</v>
      </c>
      <c r="D1280" s="293">
        <v>10.84</v>
      </c>
      <c r="E1280" s="293">
        <v>2.0499999999999998</v>
      </c>
      <c r="F1280" s="293" t="s">
        <v>376</v>
      </c>
      <c r="G1280" s="288"/>
      <c r="I1280" s="288"/>
      <c r="J1280" s="288"/>
      <c r="K1280" s="288"/>
    </row>
    <row r="1281" spans="1:11">
      <c r="A1281" s="287"/>
      <c r="B1281" s="288" t="s">
        <v>750</v>
      </c>
      <c r="C1281" s="292" t="s">
        <v>319</v>
      </c>
      <c r="D1281" s="293">
        <v>9.48</v>
      </c>
      <c r="E1281" s="293">
        <v>1.8</v>
      </c>
      <c r="F1281" s="288" t="s">
        <v>2442</v>
      </c>
      <c r="G1281" s="288"/>
      <c r="I1281" s="288"/>
      <c r="J1281" s="288"/>
      <c r="K1281" s="288"/>
    </row>
    <row r="1282" spans="1:11">
      <c r="A1282" s="287"/>
      <c r="B1282" s="288" t="s">
        <v>752</v>
      </c>
      <c r="C1282" s="292" t="s">
        <v>320</v>
      </c>
      <c r="D1282" s="293">
        <v>6.43</v>
      </c>
      <c r="E1282" s="293">
        <v>1.37</v>
      </c>
      <c r="F1282" s="293" t="s">
        <v>347</v>
      </c>
      <c r="G1282" s="288"/>
      <c r="I1282" s="288"/>
      <c r="J1282" s="288"/>
      <c r="K1282" s="288"/>
    </row>
    <row r="1283" spans="1:11">
      <c r="A1283" s="287"/>
      <c r="B1283" s="288" t="s">
        <v>752</v>
      </c>
      <c r="C1283" s="292" t="s">
        <v>321</v>
      </c>
      <c r="D1283" s="288" t="s">
        <v>1295</v>
      </c>
      <c r="E1283" s="293">
        <v>2.13</v>
      </c>
      <c r="F1283" s="293" t="s">
        <v>3647</v>
      </c>
      <c r="G1283" s="293"/>
      <c r="I1283" s="288"/>
      <c r="J1283" s="288"/>
      <c r="K1283" s="288"/>
    </row>
    <row r="1284" spans="1:11">
      <c r="A1284" s="287"/>
      <c r="B1284" s="288" t="s">
        <v>751</v>
      </c>
      <c r="C1284" s="292" t="s">
        <v>819</v>
      </c>
      <c r="D1284" s="293">
        <v>7.28</v>
      </c>
      <c r="E1284" s="293">
        <v>1.2</v>
      </c>
      <c r="F1284" s="293" t="s">
        <v>349</v>
      </c>
      <c r="G1284" s="288"/>
      <c r="I1284" s="288"/>
      <c r="J1284" s="288"/>
      <c r="K1284" s="288"/>
    </row>
    <row r="1285" spans="1:11">
      <c r="A1285" s="287"/>
      <c r="B1285" s="288" t="s">
        <v>751</v>
      </c>
      <c r="C1285" s="292" t="s">
        <v>322</v>
      </c>
      <c r="D1285" s="293">
        <v>10.45</v>
      </c>
      <c r="E1285" s="293">
        <v>1.8</v>
      </c>
      <c r="F1285" s="293" t="s">
        <v>3668</v>
      </c>
      <c r="G1285" s="288"/>
      <c r="I1285" s="288"/>
      <c r="J1285" s="288"/>
      <c r="K1285" s="288"/>
    </row>
    <row r="1286" spans="1:11">
      <c r="A1286" s="287"/>
      <c r="B1286" s="288" t="s">
        <v>753</v>
      </c>
      <c r="C1286" s="292" t="s">
        <v>2203</v>
      </c>
      <c r="D1286" s="288" t="s">
        <v>1296</v>
      </c>
      <c r="E1286" s="293">
        <v>2.08</v>
      </c>
      <c r="F1286" s="288" t="s">
        <v>2415</v>
      </c>
      <c r="G1286" s="288"/>
      <c r="I1286" s="288"/>
      <c r="J1286" s="288"/>
      <c r="K1286" s="288"/>
    </row>
    <row r="1287" spans="1:11">
      <c r="A1287" s="287"/>
      <c r="B1287" s="288" t="s">
        <v>753</v>
      </c>
      <c r="C1287" s="292" t="s">
        <v>2204</v>
      </c>
      <c r="D1287" s="293">
        <v>11.25</v>
      </c>
      <c r="E1287" s="293">
        <v>1.88</v>
      </c>
      <c r="F1287" s="288" t="s">
        <v>2645</v>
      </c>
      <c r="G1287" s="288"/>
      <c r="I1287" s="288"/>
      <c r="J1287" s="288"/>
      <c r="K1287" s="288"/>
    </row>
    <row r="1288" spans="1:11">
      <c r="A1288" s="287"/>
      <c r="B1288" s="288" t="s">
        <v>753</v>
      </c>
      <c r="C1288" s="292" t="s">
        <v>2205</v>
      </c>
      <c r="D1288" s="293">
        <v>13.05</v>
      </c>
      <c r="E1288" s="293">
        <v>1.65</v>
      </c>
      <c r="F1288" s="288" t="s">
        <v>3069</v>
      </c>
      <c r="G1288" s="288"/>
      <c r="I1288" s="288"/>
      <c r="J1288" s="288"/>
      <c r="K1288" s="288"/>
    </row>
    <row r="1289" spans="1:11">
      <c r="A1289" s="287"/>
      <c r="B1289" s="288" t="s">
        <v>754</v>
      </c>
      <c r="C1289" s="292" t="s">
        <v>1435</v>
      </c>
      <c r="D1289" s="293">
        <v>10.5</v>
      </c>
      <c r="E1289" s="293">
        <v>1.45</v>
      </c>
      <c r="F1289" s="293" t="s">
        <v>330</v>
      </c>
      <c r="G1289" s="288"/>
      <c r="I1289" s="288"/>
      <c r="J1289" s="288"/>
      <c r="K1289" s="288"/>
    </row>
    <row r="1290" spans="1:11">
      <c r="A1290" s="287"/>
      <c r="B1290" s="288" t="s">
        <v>754</v>
      </c>
      <c r="C1290" s="292" t="s">
        <v>1436</v>
      </c>
      <c r="D1290" s="293">
        <v>10.5</v>
      </c>
      <c r="E1290" s="293">
        <v>1.82</v>
      </c>
      <c r="F1290" s="293" t="s">
        <v>330</v>
      </c>
      <c r="G1290" s="288"/>
      <c r="I1290" s="288"/>
      <c r="J1290" s="288"/>
      <c r="K1290" s="288"/>
    </row>
    <row r="1291" spans="1:11">
      <c r="A1291" s="287"/>
      <c r="B1291" s="288" t="s">
        <v>754</v>
      </c>
      <c r="C1291" s="292" t="s">
        <v>1437</v>
      </c>
      <c r="D1291" s="293">
        <v>11.8</v>
      </c>
      <c r="E1291" s="293">
        <v>1.6</v>
      </c>
      <c r="F1291" s="293" t="s">
        <v>2442</v>
      </c>
      <c r="G1291" s="288"/>
      <c r="I1291" s="288"/>
      <c r="J1291" s="288"/>
      <c r="K1291" s="288"/>
    </row>
    <row r="1292" spans="1:11">
      <c r="A1292" s="287"/>
      <c r="B1292" s="288" t="s">
        <v>754</v>
      </c>
      <c r="C1292" s="292" t="s">
        <v>1438</v>
      </c>
      <c r="D1292" s="293">
        <v>11.8</v>
      </c>
      <c r="E1292" s="293">
        <v>2.09</v>
      </c>
      <c r="F1292" s="293" t="s">
        <v>2442</v>
      </c>
      <c r="G1292" s="288"/>
      <c r="I1292" s="288"/>
      <c r="J1292" s="288"/>
      <c r="K1292" s="288"/>
    </row>
    <row r="1293" spans="1:11">
      <c r="A1293" s="287"/>
      <c r="B1293" s="288" t="s">
        <v>754</v>
      </c>
      <c r="C1293" s="292" t="s">
        <v>2208</v>
      </c>
      <c r="D1293" s="293">
        <v>14.3</v>
      </c>
      <c r="E1293" s="293">
        <v>2.21</v>
      </c>
      <c r="F1293" s="293" t="s">
        <v>366</v>
      </c>
      <c r="G1293" s="293"/>
      <c r="I1293" s="293"/>
      <c r="J1293" s="293"/>
      <c r="K1293" s="293"/>
    </row>
    <row r="1294" spans="1:11">
      <c r="A1294" s="287"/>
      <c r="B1294" s="288" t="s">
        <v>2962</v>
      </c>
      <c r="C1294" s="292" t="s">
        <v>3459</v>
      </c>
      <c r="D1294" s="293">
        <v>12.11</v>
      </c>
      <c r="E1294" s="293">
        <v>2.5099999999999998</v>
      </c>
      <c r="F1294" s="288" t="s">
        <v>334</v>
      </c>
      <c r="G1294" s="293"/>
      <c r="I1294" s="288"/>
      <c r="J1294" s="288"/>
      <c r="K1294" s="288"/>
    </row>
    <row r="1295" spans="1:11">
      <c r="A1295" s="287" t="s">
        <v>2407</v>
      </c>
      <c r="B1295" s="288" t="s">
        <v>2962</v>
      </c>
      <c r="C1295" s="292" t="s">
        <v>2214</v>
      </c>
      <c r="D1295" s="293">
        <v>10.7</v>
      </c>
      <c r="E1295" s="293">
        <v>2.2000000000000002</v>
      </c>
      <c r="F1295" s="288" t="s">
        <v>2411</v>
      </c>
      <c r="G1295" s="288"/>
      <c r="I1295" s="288"/>
      <c r="J1295" s="288"/>
      <c r="K1295" s="288"/>
    </row>
    <row r="1296" spans="1:11">
      <c r="A1296" s="287"/>
      <c r="B1296" s="288" t="s">
        <v>2962</v>
      </c>
      <c r="C1296" s="292" t="s">
        <v>2215</v>
      </c>
      <c r="D1296" s="288" t="s">
        <v>1298</v>
      </c>
      <c r="E1296" s="293">
        <v>2.56</v>
      </c>
      <c r="F1296" s="288" t="s">
        <v>334</v>
      </c>
      <c r="G1296" s="288"/>
      <c r="I1296" s="288"/>
      <c r="J1296" s="288"/>
      <c r="K1296" s="288"/>
    </row>
    <row r="1297" spans="1:11">
      <c r="A1297" s="287"/>
      <c r="B1297" s="288" t="s">
        <v>755</v>
      </c>
      <c r="C1297" s="292" t="s">
        <v>3373</v>
      </c>
      <c r="D1297" s="293">
        <v>10.91</v>
      </c>
      <c r="E1297" s="293">
        <v>1.89</v>
      </c>
      <c r="F1297" s="293" t="s">
        <v>2645</v>
      </c>
      <c r="G1297" s="288"/>
      <c r="H1297" s="296"/>
      <c r="I1297" s="288"/>
      <c r="J1297" s="288"/>
      <c r="K1297" s="288"/>
    </row>
    <row r="1298" spans="1:11">
      <c r="A1298" s="287"/>
      <c r="B1298" s="288" t="s">
        <v>755</v>
      </c>
      <c r="C1298" s="292" t="s">
        <v>1442</v>
      </c>
      <c r="D1298" s="293">
        <v>11.16</v>
      </c>
      <c r="E1298" s="293">
        <v>1.6</v>
      </c>
      <c r="F1298" s="293" t="s">
        <v>352</v>
      </c>
      <c r="G1298" s="288"/>
      <c r="I1298" s="293"/>
      <c r="J1298" s="293"/>
      <c r="K1298" s="293"/>
    </row>
    <row r="1299" spans="1:11">
      <c r="A1299" s="287"/>
      <c r="B1299" s="288" t="s">
        <v>755</v>
      </c>
      <c r="C1299" s="292" t="s">
        <v>1441</v>
      </c>
      <c r="D1299" s="293">
        <v>11.16</v>
      </c>
      <c r="E1299" s="293">
        <v>2.15</v>
      </c>
      <c r="F1299" s="293" t="s">
        <v>352</v>
      </c>
      <c r="G1299" s="288"/>
      <c r="I1299" s="288"/>
      <c r="J1299" s="288"/>
      <c r="K1299" s="288"/>
    </row>
    <row r="1300" spans="1:11">
      <c r="A1300" s="287"/>
      <c r="B1300" s="288" t="s">
        <v>755</v>
      </c>
      <c r="C1300" s="292" t="s">
        <v>3374</v>
      </c>
      <c r="D1300" s="293">
        <v>11.08</v>
      </c>
      <c r="E1300" s="293">
        <v>1.96</v>
      </c>
      <c r="F1300" s="293" t="s">
        <v>2415</v>
      </c>
      <c r="G1300" s="288"/>
      <c r="I1300" s="293"/>
      <c r="J1300" s="293"/>
      <c r="K1300" s="293"/>
    </row>
    <row r="1301" spans="1:11">
      <c r="A1301" s="287"/>
      <c r="B1301" s="288" t="s">
        <v>755</v>
      </c>
      <c r="C1301" s="292" t="s">
        <v>3375</v>
      </c>
      <c r="D1301" s="293">
        <v>11.23</v>
      </c>
      <c r="E1301" s="293">
        <v>2.1</v>
      </c>
      <c r="F1301" s="293" t="s">
        <v>2437</v>
      </c>
      <c r="G1301" s="288"/>
      <c r="I1301" s="288"/>
      <c r="J1301" s="288"/>
      <c r="K1301" s="288"/>
    </row>
    <row r="1302" spans="1:11">
      <c r="A1302" s="287"/>
      <c r="B1302" s="288" t="s">
        <v>755</v>
      </c>
      <c r="C1302" s="292" t="s">
        <v>3376</v>
      </c>
      <c r="D1302" s="293">
        <v>11.66</v>
      </c>
      <c r="E1302" s="293">
        <v>1.9</v>
      </c>
      <c r="F1302" s="293" t="s">
        <v>2422</v>
      </c>
      <c r="G1302" s="288"/>
      <c r="H1302" s="296"/>
      <c r="I1302" s="293"/>
      <c r="J1302" s="293"/>
      <c r="K1302" s="293"/>
    </row>
    <row r="1303" spans="1:11">
      <c r="A1303" s="287"/>
      <c r="B1303" s="288" t="s">
        <v>755</v>
      </c>
      <c r="C1303" s="292" t="s">
        <v>3377</v>
      </c>
      <c r="D1303" s="293">
        <v>12.19</v>
      </c>
      <c r="E1303" s="293">
        <v>2.2599999999999998</v>
      </c>
      <c r="F1303" s="293" t="s">
        <v>349</v>
      </c>
      <c r="G1303" s="288"/>
      <c r="I1303" s="288"/>
      <c r="J1303" s="288"/>
      <c r="K1303" s="288"/>
    </row>
    <row r="1304" spans="1:11">
      <c r="A1304" s="287" t="s">
        <v>2407</v>
      </c>
      <c r="B1304" s="288" t="s">
        <v>755</v>
      </c>
      <c r="C1304" s="292" t="s">
        <v>3378</v>
      </c>
      <c r="D1304" s="288" t="s">
        <v>2043</v>
      </c>
      <c r="E1304" s="293">
        <v>2.2000000000000002</v>
      </c>
      <c r="F1304" s="293" t="s">
        <v>2418</v>
      </c>
      <c r="G1304" s="288"/>
      <c r="H1304" s="296"/>
      <c r="I1304" s="288"/>
      <c r="J1304" s="288"/>
      <c r="K1304" s="288"/>
    </row>
    <row r="1305" spans="1:11">
      <c r="A1305" s="287"/>
      <c r="B1305" s="288" t="s">
        <v>755</v>
      </c>
      <c r="C1305" s="292" t="s">
        <v>1443</v>
      </c>
      <c r="D1305" s="293">
        <v>12.26</v>
      </c>
      <c r="E1305" s="293">
        <v>2.16</v>
      </c>
      <c r="F1305" s="293" t="s">
        <v>3647</v>
      </c>
      <c r="G1305" s="288"/>
      <c r="I1305" s="288"/>
      <c r="J1305" s="288"/>
      <c r="K1305" s="288"/>
    </row>
    <row r="1306" spans="1:11">
      <c r="A1306" s="287"/>
      <c r="B1306" s="288" t="s">
        <v>755</v>
      </c>
      <c r="C1306" s="292" t="s">
        <v>1444</v>
      </c>
      <c r="D1306" s="293">
        <v>12.26</v>
      </c>
      <c r="E1306" s="293">
        <v>2.4</v>
      </c>
      <c r="F1306" s="293" t="s">
        <v>3647</v>
      </c>
      <c r="G1306" s="288"/>
      <c r="H1306" s="296"/>
      <c r="I1306" s="288"/>
      <c r="J1306" s="288"/>
      <c r="K1306" s="288"/>
    </row>
    <row r="1307" spans="1:11">
      <c r="A1307" s="287"/>
      <c r="B1307" s="288" t="s">
        <v>755</v>
      </c>
      <c r="C1307" s="292" t="s">
        <v>3379</v>
      </c>
      <c r="D1307" s="293">
        <v>12.26</v>
      </c>
      <c r="E1307" s="288" t="s">
        <v>327</v>
      </c>
      <c r="F1307" s="293" t="s">
        <v>3647</v>
      </c>
      <c r="G1307" s="288"/>
      <c r="I1307" s="288"/>
      <c r="J1307" s="288"/>
      <c r="K1307" s="288"/>
    </row>
    <row r="1308" spans="1:11">
      <c r="A1308" s="287"/>
      <c r="B1308" s="288" t="s">
        <v>755</v>
      </c>
      <c r="C1308" s="292" t="s">
        <v>3380</v>
      </c>
      <c r="D1308" s="293">
        <v>12.53</v>
      </c>
      <c r="E1308" s="293">
        <v>2.11</v>
      </c>
      <c r="F1308" s="293" t="s">
        <v>2420</v>
      </c>
      <c r="G1308" s="288"/>
      <c r="I1308" s="293"/>
      <c r="J1308" s="293"/>
      <c r="K1308" s="293"/>
    </row>
    <row r="1309" spans="1:11">
      <c r="A1309" s="287"/>
      <c r="B1309" s="288" t="s">
        <v>755</v>
      </c>
      <c r="C1309" s="292" t="s">
        <v>3381</v>
      </c>
      <c r="D1309" s="293">
        <v>12.44</v>
      </c>
      <c r="E1309" s="293">
        <v>2.21</v>
      </c>
      <c r="F1309" s="293" t="s">
        <v>350</v>
      </c>
      <c r="G1309" s="288"/>
      <c r="I1309" s="288"/>
      <c r="J1309" s="288"/>
      <c r="K1309" s="288"/>
    </row>
    <row r="1310" spans="1:11">
      <c r="A1310" s="287"/>
      <c r="B1310" s="288" t="s">
        <v>755</v>
      </c>
      <c r="C1310" s="292" t="s">
        <v>3382</v>
      </c>
      <c r="D1310" s="293">
        <v>12.8</v>
      </c>
      <c r="E1310" s="293">
        <v>2.4300000000000002</v>
      </c>
      <c r="F1310" s="293" t="s">
        <v>2435</v>
      </c>
      <c r="G1310" s="288"/>
      <c r="I1310" s="288"/>
      <c r="J1310" s="288"/>
      <c r="K1310" s="288"/>
    </row>
    <row r="1311" spans="1:11">
      <c r="A1311" s="287"/>
      <c r="B1311" s="288" t="s">
        <v>755</v>
      </c>
      <c r="C1311" s="292" t="s">
        <v>820</v>
      </c>
      <c r="D1311" s="293">
        <v>12.98</v>
      </c>
      <c r="E1311" s="293">
        <v>2.7</v>
      </c>
      <c r="F1311" s="288" t="s">
        <v>2427</v>
      </c>
      <c r="G1311" s="288"/>
      <c r="I1311" s="288"/>
      <c r="J1311" s="288"/>
      <c r="K1311" s="288"/>
    </row>
    <row r="1312" spans="1:11">
      <c r="A1312" s="287"/>
      <c r="B1312" s="288" t="s">
        <v>755</v>
      </c>
      <c r="C1312" s="292" t="s">
        <v>3383</v>
      </c>
      <c r="D1312" s="293">
        <v>12.8</v>
      </c>
      <c r="E1312" s="293">
        <v>1.8</v>
      </c>
      <c r="F1312" s="293" t="s">
        <v>2435</v>
      </c>
      <c r="G1312" s="293"/>
      <c r="H1312" s="296"/>
      <c r="I1312" s="288"/>
      <c r="J1312" s="288"/>
      <c r="K1312" s="288"/>
    </row>
    <row r="1313" spans="1:11">
      <c r="A1313" s="287"/>
      <c r="B1313" s="288" t="s">
        <v>755</v>
      </c>
      <c r="C1313" s="292" t="s">
        <v>3384</v>
      </c>
      <c r="D1313" s="293">
        <v>13.07</v>
      </c>
      <c r="E1313" s="293">
        <v>2.27</v>
      </c>
      <c r="F1313" s="293" t="s">
        <v>2439</v>
      </c>
      <c r="G1313" s="288"/>
      <c r="I1313" s="288"/>
      <c r="J1313" s="288"/>
      <c r="K1313" s="288"/>
    </row>
    <row r="1314" spans="1:11">
      <c r="A1314" s="287"/>
      <c r="B1314" s="288" t="s">
        <v>755</v>
      </c>
      <c r="C1314" s="292" t="s">
        <v>1446</v>
      </c>
      <c r="D1314" s="288" t="s">
        <v>1306</v>
      </c>
      <c r="E1314" s="293">
        <v>1.81</v>
      </c>
      <c r="F1314" s="293" t="s">
        <v>355</v>
      </c>
      <c r="G1314" s="288"/>
      <c r="I1314" s="293"/>
      <c r="J1314" s="293"/>
      <c r="K1314" s="293"/>
    </row>
    <row r="1315" spans="1:11">
      <c r="A1315" s="287"/>
      <c r="B1315" s="288" t="s">
        <v>755</v>
      </c>
      <c r="C1315" s="292" t="s">
        <v>1445</v>
      </c>
      <c r="D1315" s="293">
        <v>13.09</v>
      </c>
      <c r="E1315" s="293">
        <v>2.5299999999999998</v>
      </c>
      <c r="F1315" s="293" t="s">
        <v>355</v>
      </c>
      <c r="G1315" s="288"/>
      <c r="I1315" s="293"/>
      <c r="J1315" s="293"/>
      <c r="K1315" s="293"/>
    </row>
    <row r="1316" spans="1:11">
      <c r="A1316" s="287"/>
      <c r="B1316" s="288" t="s">
        <v>755</v>
      </c>
      <c r="C1316" s="292" t="s">
        <v>3385</v>
      </c>
      <c r="D1316" s="293">
        <v>13.48</v>
      </c>
      <c r="E1316" s="293">
        <v>2.34</v>
      </c>
      <c r="F1316" s="293" t="s">
        <v>2431</v>
      </c>
      <c r="G1316" s="288"/>
      <c r="I1316" s="288"/>
      <c r="J1316" s="288"/>
      <c r="K1316" s="288"/>
    </row>
    <row r="1317" spans="1:11">
      <c r="A1317" s="287"/>
      <c r="B1317" s="288" t="s">
        <v>755</v>
      </c>
      <c r="C1317" s="292" t="s">
        <v>3386</v>
      </c>
      <c r="D1317" s="293">
        <v>13.4</v>
      </c>
      <c r="E1317" s="293">
        <v>2.5299999999999998</v>
      </c>
      <c r="F1317" s="293" t="s">
        <v>2442</v>
      </c>
      <c r="G1317" s="293"/>
      <c r="I1317" s="288"/>
      <c r="J1317" s="288"/>
      <c r="K1317" s="288"/>
    </row>
    <row r="1318" spans="1:11">
      <c r="A1318" s="287"/>
      <c r="B1318" s="288" t="s">
        <v>755</v>
      </c>
      <c r="C1318" s="292" t="s">
        <v>3387</v>
      </c>
      <c r="D1318" s="293">
        <v>13.4</v>
      </c>
      <c r="E1318" s="293">
        <v>2.2000000000000002</v>
      </c>
      <c r="F1318" s="293" t="s">
        <v>2405</v>
      </c>
      <c r="G1318" s="288"/>
      <c r="H1318" s="296"/>
      <c r="I1318" s="288"/>
      <c r="J1318" s="288"/>
      <c r="K1318" s="288"/>
    </row>
    <row r="1319" spans="1:11">
      <c r="A1319" s="287"/>
      <c r="B1319" s="288" t="s">
        <v>755</v>
      </c>
      <c r="C1319" s="292" t="s">
        <v>3388</v>
      </c>
      <c r="D1319" s="293">
        <v>13.52</v>
      </c>
      <c r="E1319" s="293">
        <v>2.4</v>
      </c>
      <c r="F1319" s="293" t="s">
        <v>2418</v>
      </c>
      <c r="G1319" s="293"/>
      <c r="H1319" s="296"/>
      <c r="I1319" s="288"/>
      <c r="J1319" s="288"/>
      <c r="K1319" s="288"/>
    </row>
    <row r="1320" spans="1:11">
      <c r="A1320" s="287"/>
      <c r="B1320" s="288" t="s">
        <v>755</v>
      </c>
      <c r="C1320" s="292" t="s">
        <v>821</v>
      </c>
      <c r="D1320" s="293">
        <v>13.83</v>
      </c>
      <c r="E1320" s="293">
        <v>2.81</v>
      </c>
      <c r="F1320" s="293" t="s">
        <v>2424</v>
      </c>
      <c r="G1320" s="288"/>
      <c r="I1320" s="293"/>
      <c r="J1320" s="293"/>
      <c r="K1320" s="293"/>
    </row>
    <row r="1321" spans="1:11">
      <c r="A1321" s="287"/>
      <c r="B1321" s="288" t="s">
        <v>755</v>
      </c>
      <c r="C1321" s="292" t="s">
        <v>985</v>
      </c>
      <c r="D1321" s="293">
        <v>14.05</v>
      </c>
      <c r="E1321" s="293">
        <v>2.2999999999999998</v>
      </c>
      <c r="F1321" s="293" t="s">
        <v>344</v>
      </c>
      <c r="G1321" s="293"/>
      <c r="I1321" s="293"/>
      <c r="J1321" s="293"/>
      <c r="K1321" s="293"/>
    </row>
    <row r="1322" spans="1:11">
      <c r="A1322" s="287"/>
      <c r="B1322" s="288" t="s">
        <v>755</v>
      </c>
      <c r="C1322" s="292" t="s">
        <v>1447</v>
      </c>
      <c r="D1322" s="293">
        <v>14.36</v>
      </c>
      <c r="E1322" s="293">
        <v>1.8</v>
      </c>
      <c r="F1322" s="293" t="s">
        <v>3668</v>
      </c>
      <c r="G1322" s="288"/>
      <c r="I1322" s="293"/>
      <c r="J1322" s="293"/>
      <c r="K1322" s="293"/>
    </row>
    <row r="1323" spans="1:11">
      <c r="A1323" s="287"/>
      <c r="B1323" s="288" t="s">
        <v>755</v>
      </c>
      <c r="C1323" s="292" t="s">
        <v>1448</v>
      </c>
      <c r="D1323" s="293">
        <v>14.36</v>
      </c>
      <c r="E1323" s="293">
        <v>2.5</v>
      </c>
      <c r="F1323" s="293" t="s">
        <v>3668</v>
      </c>
      <c r="G1323" s="288"/>
      <c r="I1323" s="288"/>
      <c r="J1323" s="288"/>
      <c r="K1323" s="288"/>
    </row>
    <row r="1324" spans="1:11">
      <c r="A1324" s="287"/>
      <c r="B1324" s="288" t="s">
        <v>755</v>
      </c>
      <c r="C1324" s="292" t="s">
        <v>1450</v>
      </c>
      <c r="D1324" s="288" t="s">
        <v>1307</v>
      </c>
      <c r="E1324" s="293">
        <v>2.57</v>
      </c>
      <c r="F1324" s="293" t="s">
        <v>3668</v>
      </c>
      <c r="G1324" s="288"/>
      <c r="H1324" s="296"/>
      <c r="I1324" s="288"/>
      <c r="J1324" s="288"/>
      <c r="K1324" s="288"/>
    </row>
    <row r="1325" spans="1:11">
      <c r="A1325" s="287"/>
      <c r="B1325" s="288" t="s">
        <v>755</v>
      </c>
      <c r="C1325" s="292" t="s">
        <v>984</v>
      </c>
      <c r="D1325" s="288" t="s">
        <v>1307</v>
      </c>
      <c r="E1325" s="293">
        <v>2.87</v>
      </c>
      <c r="F1325" s="293" t="s">
        <v>3668</v>
      </c>
      <c r="G1325" s="288"/>
      <c r="H1325" s="296"/>
      <c r="I1325" s="288"/>
      <c r="J1325" s="288"/>
      <c r="K1325" s="288"/>
    </row>
    <row r="1326" spans="1:11">
      <c r="A1326" s="287"/>
      <c r="B1326" s="288" t="s">
        <v>755</v>
      </c>
      <c r="C1326" s="292" t="s">
        <v>1449</v>
      </c>
      <c r="D1326" s="293">
        <v>14.4</v>
      </c>
      <c r="E1326" s="293">
        <v>2.7</v>
      </c>
      <c r="F1326" s="293" t="s">
        <v>3668</v>
      </c>
      <c r="G1326" s="288"/>
      <c r="H1326" s="296"/>
      <c r="I1326" s="288"/>
      <c r="J1326" s="288"/>
      <c r="K1326" s="288"/>
    </row>
    <row r="1327" spans="1:11">
      <c r="A1327" s="287"/>
      <c r="B1327" s="288" t="s">
        <v>755</v>
      </c>
      <c r="C1327" s="292" t="s">
        <v>1453</v>
      </c>
      <c r="D1327" s="293">
        <v>14.6</v>
      </c>
      <c r="E1327" s="293">
        <v>2.2400000000000002</v>
      </c>
      <c r="F1327" s="293" t="s">
        <v>2422</v>
      </c>
      <c r="G1327" s="293"/>
      <c r="I1327" s="288"/>
      <c r="J1327" s="288"/>
      <c r="K1327" s="288"/>
    </row>
    <row r="1328" spans="1:11">
      <c r="A1328" s="287"/>
      <c r="B1328" s="288" t="s">
        <v>755</v>
      </c>
      <c r="C1328" s="292" t="s">
        <v>1451</v>
      </c>
      <c r="D1328" s="288" t="s">
        <v>1308</v>
      </c>
      <c r="E1328" s="293">
        <v>2.4</v>
      </c>
      <c r="F1328" s="293" t="s">
        <v>2422</v>
      </c>
      <c r="G1328" s="288"/>
      <c r="I1328" s="293"/>
      <c r="J1328" s="293"/>
      <c r="K1328" s="293"/>
    </row>
    <row r="1329" spans="1:11">
      <c r="A1329" s="287"/>
      <c r="B1329" s="288" t="s">
        <v>755</v>
      </c>
      <c r="C1329" s="292" t="s">
        <v>1452</v>
      </c>
      <c r="D1329" s="288" t="s">
        <v>1309</v>
      </c>
      <c r="E1329" s="293">
        <v>2.4</v>
      </c>
      <c r="F1329" s="293" t="s">
        <v>3638</v>
      </c>
      <c r="G1329" s="288"/>
      <c r="I1329" s="288"/>
      <c r="J1329" s="288"/>
      <c r="K1329" s="288"/>
    </row>
    <row r="1330" spans="1:11">
      <c r="A1330" s="287"/>
      <c r="B1330" s="288" t="s">
        <v>755</v>
      </c>
      <c r="C1330" s="292" t="s">
        <v>986</v>
      </c>
      <c r="D1330" s="293">
        <v>14.58</v>
      </c>
      <c r="E1330" s="293">
        <v>2.83</v>
      </c>
      <c r="F1330" s="293" t="s">
        <v>2422</v>
      </c>
      <c r="G1330" s="288"/>
      <c r="I1330" s="293"/>
      <c r="J1330" s="293"/>
      <c r="K1330" s="293"/>
    </row>
    <row r="1331" spans="1:11">
      <c r="A1331" s="287" t="s">
        <v>2407</v>
      </c>
      <c r="B1331" s="288" t="s">
        <v>755</v>
      </c>
      <c r="C1331" s="292" t="s">
        <v>987</v>
      </c>
      <c r="D1331" s="288" t="s">
        <v>1308</v>
      </c>
      <c r="E1331" s="293">
        <v>2.38</v>
      </c>
      <c r="F1331" s="293" t="s">
        <v>2431</v>
      </c>
      <c r="G1331" s="288"/>
      <c r="I1331" s="293"/>
      <c r="J1331" s="293"/>
      <c r="K1331" s="293"/>
    </row>
    <row r="1332" spans="1:11">
      <c r="A1332" s="287"/>
      <c r="B1332" s="288" t="s">
        <v>755</v>
      </c>
      <c r="C1332" s="292" t="s">
        <v>1454</v>
      </c>
      <c r="D1332" s="293">
        <v>14.84</v>
      </c>
      <c r="E1332" s="293">
        <v>2.39</v>
      </c>
      <c r="F1332" s="293" t="s">
        <v>342</v>
      </c>
      <c r="G1332" s="288"/>
      <c r="H1332" s="296"/>
      <c r="I1332" s="293"/>
      <c r="J1332" s="293"/>
      <c r="K1332" s="293"/>
    </row>
    <row r="1333" spans="1:11">
      <c r="A1333" s="287"/>
      <c r="B1333" s="288" t="s">
        <v>755</v>
      </c>
      <c r="C1333" s="292" t="s">
        <v>1455</v>
      </c>
      <c r="D1333" s="288" t="s">
        <v>1310</v>
      </c>
      <c r="E1333" s="293">
        <v>2.9</v>
      </c>
      <c r="F1333" s="293" t="s">
        <v>342</v>
      </c>
      <c r="G1333" s="293"/>
      <c r="I1333" s="288"/>
      <c r="J1333" s="288"/>
      <c r="K1333" s="288"/>
    </row>
    <row r="1334" spans="1:11">
      <c r="A1334" s="287"/>
      <c r="B1334" s="288" t="s">
        <v>755</v>
      </c>
      <c r="C1334" s="292" t="s">
        <v>1456</v>
      </c>
      <c r="D1334" s="293">
        <v>14.84</v>
      </c>
      <c r="E1334" s="293">
        <v>2.94</v>
      </c>
      <c r="F1334" s="293" t="s">
        <v>342</v>
      </c>
      <c r="G1334" s="293"/>
      <c r="H1334" s="296"/>
      <c r="I1334" s="288"/>
      <c r="J1334" s="288"/>
      <c r="K1334" s="288"/>
    </row>
    <row r="1335" spans="1:11">
      <c r="A1335" s="287"/>
      <c r="B1335" s="288" t="s">
        <v>755</v>
      </c>
      <c r="C1335" s="292" t="s">
        <v>4792</v>
      </c>
      <c r="D1335" s="288" t="s">
        <v>2113</v>
      </c>
      <c r="E1335" s="288" t="s">
        <v>4793</v>
      </c>
      <c r="F1335" s="288" t="s">
        <v>2143</v>
      </c>
      <c r="G1335" s="288"/>
      <c r="H1335" s="296"/>
      <c r="I1335" s="293"/>
      <c r="J1335" s="293"/>
      <c r="K1335" s="293"/>
    </row>
    <row r="1336" spans="1:11">
      <c r="A1336" s="287"/>
      <c r="B1336" s="288" t="s">
        <v>755</v>
      </c>
      <c r="C1336" s="292" t="s">
        <v>988</v>
      </c>
      <c r="D1336" s="293">
        <v>15.62</v>
      </c>
      <c r="E1336" s="293">
        <v>2.88</v>
      </c>
      <c r="F1336" s="293" t="s">
        <v>349</v>
      </c>
      <c r="G1336" s="288"/>
      <c r="H1336" s="296"/>
      <c r="I1336" s="288"/>
      <c r="J1336" s="288"/>
      <c r="K1336" s="288"/>
    </row>
    <row r="1337" spans="1:11">
      <c r="A1337" s="287"/>
      <c r="B1337" s="288" t="s">
        <v>755</v>
      </c>
      <c r="C1337" s="292" t="s">
        <v>989</v>
      </c>
      <c r="D1337" s="293">
        <v>15.62</v>
      </c>
      <c r="E1337" s="288" t="s">
        <v>327</v>
      </c>
      <c r="F1337" s="293" t="s">
        <v>349</v>
      </c>
      <c r="G1337" s="288"/>
      <c r="I1337" s="288"/>
      <c r="J1337" s="288"/>
      <c r="K1337" s="288"/>
    </row>
    <row r="1338" spans="1:11">
      <c r="A1338" s="287"/>
      <c r="B1338" s="288" t="s">
        <v>755</v>
      </c>
      <c r="C1338" s="292" t="s">
        <v>990</v>
      </c>
      <c r="D1338" s="293">
        <v>16.059999999999999</v>
      </c>
      <c r="E1338" s="293">
        <v>3.1</v>
      </c>
      <c r="F1338" s="293" t="s">
        <v>3069</v>
      </c>
      <c r="G1338" s="288"/>
      <c r="I1338" s="293"/>
      <c r="J1338" s="293"/>
      <c r="K1338" s="293"/>
    </row>
    <row r="1339" spans="1:11">
      <c r="A1339" s="287"/>
      <c r="B1339" s="288" t="s">
        <v>755</v>
      </c>
      <c r="C1339" s="292" t="s">
        <v>991</v>
      </c>
      <c r="D1339" s="293">
        <v>16.48</v>
      </c>
      <c r="E1339" s="293">
        <v>2.44</v>
      </c>
      <c r="F1339" s="293" t="s">
        <v>344</v>
      </c>
      <c r="G1339" s="293"/>
      <c r="H1339" s="296"/>
      <c r="I1339" s="288"/>
      <c r="J1339" s="288"/>
      <c r="K1339" s="288"/>
    </row>
    <row r="1340" spans="1:11">
      <c r="A1340" s="287"/>
      <c r="B1340" s="288" t="s">
        <v>755</v>
      </c>
      <c r="C1340" s="292" t="s">
        <v>992</v>
      </c>
      <c r="D1340" s="293">
        <v>16.2</v>
      </c>
      <c r="E1340" s="293">
        <v>2.6</v>
      </c>
      <c r="F1340" s="293" t="s">
        <v>2415</v>
      </c>
      <c r="G1340" s="293"/>
      <c r="I1340" s="288"/>
      <c r="J1340" s="288"/>
      <c r="K1340" s="288"/>
    </row>
    <row r="1341" spans="1:11">
      <c r="A1341" s="287"/>
      <c r="B1341" s="288" t="s">
        <v>755</v>
      </c>
      <c r="C1341" s="292" t="s">
        <v>993</v>
      </c>
      <c r="D1341" s="293">
        <v>16.09</v>
      </c>
      <c r="E1341" s="293">
        <v>2.48</v>
      </c>
      <c r="F1341" s="293" t="s">
        <v>2415</v>
      </c>
      <c r="G1341" s="293"/>
      <c r="I1341" s="288"/>
      <c r="J1341" s="288"/>
      <c r="K1341" s="288"/>
    </row>
    <row r="1342" spans="1:11">
      <c r="A1342" s="287"/>
      <c r="B1342" s="288" t="s">
        <v>755</v>
      </c>
      <c r="C1342" s="292" t="s">
        <v>994</v>
      </c>
      <c r="D1342" s="288" t="s">
        <v>1311</v>
      </c>
      <c r="E1342" s="293">
        <v>2.56</v>
      </c>
      <c r="F1342" s="293" t="s">
        <v>2415</v>
      </c>
      <c r="G1342" s="288"/>
      <c r="H1342" s="296"/>
      <c r="I1342" s="288"/>
      <c r="J1342" s="288"/>
      <c r="K1342" s="288"/>
    </row>
    <row r="1343" spans="1:11">
      <c r="A1343" s="287"/>
      <c r="B1343" s="288" t="s">
        <v>755</v>
      </c>
      <c r="C1343" s="292" t="s">
        <v>487</v>
      </c>
      <c r="D1343" s="288" t="s">
        <v>488</v>
      </c>
      <c r="E1343" s="288" t="s">
        <v>480</v>
      </c>
      <c r="F1343" s="288" t="s">
        <v>2405</v>
      </c>
      <c r="G1343" s="288"/>
      <c r="I1343" s="288"/>
      <c r="J1343" s="288"/>
      <c r="K1343" s="288"/>
    </row>
    <row r="1344" spans="1:11">
      <c r="A1344" s="287"/>
      <c r="B1344" s="288" t="s">
        <v>755</v>
      </c>
      <c r="C1344" s="292" t="s">
        <v>995</v>
      </c>
      <c r="D1344" s="288" t="s">
        <v>1312</v>
      </c>
      <c r="E1344" s="293">
        <v>2.7</v>
      </c>
      <c r="F1344" s="293" t="s">
        <v>2408</v>
      </c>
      <c r="G1344" s="288"/>
      <c r="I1344" s="288"/>
      <c r="J1344" s="288"/>
      <c r="K1344" s="288"/>
    </row>
    <row r="1345" spans="1:11">
      <c r="A1345" s="287"/>
      <c r="B1345" s="288" t="s">
        <v>755</v>
      </c>
      <c r="C1345" s="292" t="s">
        <v>996</v>
      </c>
      <c r="D1345" s="293">
        <v>17.190000000000001</v>
      </c>
      <c r="E1345" s="293">
        <v>3.38</v>
      </c>
      <c r="F1345" s="293" t="s">
        <v>2408</v>
      </c>
      <c r="G1345" s="288"/>
      <c r="I1345" s="293"/>
      <c r="J1345" s="293"/>
      <c r="K1345" s="293"/>
    </row>
    <row r="1346" spans="1:11">
      <c r="A1346" s="287"/>
      <c r="B1346" s="288" t="s">
        <v>755</v>
      </c>
      <c r="C1346" s="292" t="s">
        <v>997</v>
      </c>
      <c r="D1346" s="293">
        <v>17.5</v>
      </c>
      <c r="E1346" s="293">
        <v>2.82</v>
      </c>
      <c r="F1346" s="293" t="s">
        <v>350</v>
      </c>
      <c r="G1346" s="288"/>
      <c r="I1346" s="293"/>
      <c r="J1346" s="293"/>
      <c r="K1346" s="293"/>
    </row>
    <row r="1347" spans="1:11">
      <c r="A1347" s="287"/>
      <c r="B1347" s="288" t="s">
        <v>755</v>
      </c>
      <c r="C1347" s="292" t="s">
        <v>998</v>
      </c>
      <c r="D1347" s="293">
        <v>17.920000000000002</v>
      </c>
      <c r="E1347" s="293">
        <v>3.4</v>
      </c>
      <c r="F1347" s="293" t="s">
        <v>328</v>
      </c>
      <c r="G1347" s="293"/>
      <c r="I1347" s="293"/>
      <c r="J1347" s="293"/>
      <c r="K1347" s="293"/>
    </row>
    <row r="1348" spans="1:11">
      <c r="A1348" s="287"/>
      <c r="B1348" s="288" t="s">
        <v>755</v>
      </c>
      <c r="C1348" s="292" t="s">
        <v>822</v>
      </c>
      <c r="D1348" s="288" t="s">
        <v>1313</v>
      </c>
      <c r="E1348" s="293"/>
      <c r="F1348" s="293"/>
      <c r="G1348" s="288"/>
      <c r="I1348" s="288"/>
      <c r="J1348" s="288"/>
      <c r="K1348" s="288"/>
    </row>
    <row r="1349" spans="1:11">
      <c r="A1349" s="287"/>
      <c r="B1349" s="288" t="s">
        <v>755</v>
      </c>
      <c r="C1349" s="292" t="s">
        <v>824</v>
      </c>
      <c r="D1349" s="293">
        <v>18.3</v>
      </c>
      <c r="E1349" s="293">
        <v>3.61</v>
      </c>
      <c r="F1349" s="293" t="s">
        <v>344</v>
      </c>
      <c r="G1349" s="293"/>
      <c r="H1349" s="296"/>
      <c r="I1349" s="288"/>
      <c r="J1349" s="288"/>
      <c r="K1349" s="288"/>
    </row>
    <row r="1350" spans="1:11">
      <c r="A1350" s="287"/>
      <c r="B1350" s="288" t="s">
        <v>755</v>
      </c>
      <c r="C1350" s="292" t="s">
        <v>489</v>
      </c>
      <c r="D1350" s="293">
        <v>19.68</v>
      </c>
      <c r="E1350" s="288" t="s">
        <v>490</v>
      </c>
      <c r="F1350" s="293" t="s">
        <v>2431</v>
      </c>
      <c r="G1350" s="293"/>
      <c r="H1350" s="296"/>
      <c r="I1350" s="288"/>
      <c r="J1350" s="288"/>
      <c r="K1350" s="288"/>
    </row>
    <row r="1351" spans="1:11">
      <c r="A1351" s="287"/>
      <c r="B1351" s="288" t="s">
        <v>755</v>
      </c>
      <c r="C1351" s="292" t="s">
        <v>491</v>
      </c>
      <c r="D1351" s="293">
        <v>19.68</v>
      </c>
      <c r="E1351" s="293">
        <v>2.4500000000000002</v>
      </c>
      <c r="F1351" s="293" t="s">
        <v>2431</v>
      </c>
      <c r="G1351" s="293"/>
      <c r="H1351" s="296"/>
      <c r="I1351" s="288"/>
      <c r="J1351" s="288"/>
      <c r="K1351" s="288"/>
    </row>
    <row r="1352" spans="1:11">
      <c r="A1352" s="287" t="s">
        <v>2407</v>
      </c>
      <c r="B1352" s="288" t="s">
        <v>755</v>
      </c>
      <c r="C1352" s="292" t="s">
        <v>999</v>
      </c>
      <c r="D1352" s="288" t="s">
        <v>1314</v>
      </c>
      <c r="E1352" s="293">
        <v>3.5</v>
      </c>
      <c r="F1352" s="293" t="s">
        <v>3616</v>
      </c>
      <c r="G1352" s="288"/>
      <c r="I1352" s="288"/>
      <c r="J1352" s="288"/>
      <c r="K1352" s="288"/>
    </row>
    <row r="1353" spans="1:11">
      <c r="A1353" s="287"/>
      <c r="B1353" s="288" t="s">
        <v>756</v>
      </c>
      <c r="C1353" s="292" t="s">
        <v>1000</v>
      </c>
      <c r="D1353" s="288" t="s">
        <v>1315</v>
      </c>
      <c r="E1353" s="293">
        <v>2.0299999999999998</v>
      </c>
      <c r="F1353" s="288" t="s">
        <v>3616</v>
      </c>
      <c r="G1353" s="288"/>
      <c r="I1353" s="288"/>
      <c r="J1353" s="288"/>
      <c r="K1353" s="288"/>
    </row>
    <row r="1354" spans="1:11">
      <c r="A1354" s="287"/>
      <c r="B1354" s="288" t="s">
        <v>756</v>
      </c>
      <c r="C1354" s="292" t="s">
        <v>1001</v>
      </c>
      <c r="D1354" s="293">
        <v>12.45</v>
      </c>
      <c r="E1354" s="293">
        <v>2.81</v>
      </c>
      <c r="F1354" s="293" t="s">
        <v>2409</v>
      </c>
      <c r="G1354" s="293"/>
      <c r="I1354" s="293"/>
      <c r="J1354" s="293"/>
      <c r="K1354" s="293"/>
    </row>
    <row r="1355" spans="1:11">
      <c r="A1355" s="287"/>
      <c r="B1355" s="288" t="s">
        <v>756</v>
      </c>
      <c r="C1355" s="292" t="s">
        <v>1002</v>
      </c>
      <c r="D1355" s="293">
        <v>8.01</v>
      </c>
      <c r="E1355" s="293">
        <v>1.45</v>
      </c>
      <c r="F1355" s="293" t="s">
        <v>2418</v>
      </c>
      <c r="G1355" s="288"/>
      <c r="I1355" s="288"/>
      <c r="J1355" s="288"/>
      <c r="K1355" s="288"/>
    </row>
    <row r="1356" spans="1:11">
      <c r="A1356" s="287"/>
      <c r="B1356" s="288" t="s">
        <v>756</v>
      </c>
      <c r="C1356" s="292" t="s">
        <v>1003</v>
      </c>
      <c r="D1356" s="293">
        <v>9.75</v>
      </c>
      <c r="E1356" s="293">
        <v>1.9</v>
      </c>
      <c r="F1356" s="293" t="s">
        <v>330</v>
      </c>
      <c r="G1356" s="288"/>
      <c r="I1356" s="288"/>
      <c r="J1356" s="288"/>
      <c r="K1356" s="288"/>
    </row>
    <row r="1357" spans="1:11">
      <c r="A1357" s="287"/>
      <c r="B1357" s="288" t="s">
        <v>757</v>
      </c>
      <c r="C1357" s="292" t="s">
        <v>1004</v>
      </c>
      <c r="D1357" s="293">
        <v>10.99</v>
      </c>
      <c r="E1357" s="293">
        <v>2.12</v>
      </c>
      <c r="F1357" s="293" t="s">
        <v>328</v>
      </c>
      <c r="G1357" s="293"/>
      <c r="I1357" s="288"/>
      <c r="J1357" s="288"/>
      <c r="K1357" s="288"/>
    </row>
    <row r="1358" spans="1:11">
      <c r="A1358" s="287"/>
      <c r="B1358" s="288" t="s">
        <v>757</v>
      </c>
      <c r="C1358" s="292" t="s">
        <v>1005</v>
      </c>
      <c r="D1358" s="288" t="s">
        <v>339</v>
      </c>
      <c r="E1358" s="293">
        <v>2.0499999999999998</v>
      </c>
      <c r="F1358" s="293" t="s">
        <v>3647</v>
      </c>
      <c r="G1358" s="288"/>
      <c r="H1358" s="296"/>
      <c r="I1358" s="288"/>
      <c r="J1358" s="288"/>
      <c r="K1358" s="288"/>
    </row>
    <row r="1359" spans="1:11">
      <c r="A1359" s="287" t="s">
        <v>2407</v>
      </c>
      <c r="B1359" s="288" t="s">
        <v>757</v>
      </c>
      <c r="C1359" s="292" t="s">
        <v>1006</v>
      </c>
      <c r="D1359" s="293">
        <v>11</v>
      </c>
      <c r="E1359" s="293">
        <v>1.61</v>
      </c>
      <c r="F1359" s="293" t="s">
        <v>3647</v>
      </c>
      <c r="G1359" s="288"/>
      <c r="I1359" s="288"/>
      <c r="J1359" s="288"/>
      <c r="K1359" s="288"/>
    </row>
    <row r="1360" spans="1:11">
      <c r="A1360" s="287" t="s">
        <v>2407</v>
      </c>
      <c r="B1360" s="288" t="s">
        <v>757</v>
      </c>
      <c r="C1360" s="292" t="s">
        <v>1007</v>
      </c>
      <c r="D1360" s="293">
        <v>11.81</v>
      </c>
      <c r="E1360" s="293">
        <v>2.25</v>
      </c>
      <c r="F1360" s="293" t="s">
        <v>330</v>
      </c>
      <c r="G1360" s="288"/>
      <c r="I1360" s="288"/>
      <c r="J1360" s="288"/>
      <c r="K1360" s="288"/>
    </row>
    <row r="1361" spans="1:11">
      <c r="A1361" s="287"/>
      <c r="B1361" s="288" t="s">
        <v>757</v>
      </c>
      <c r="C1361" s="292" t="s">
        <v>1008</v>
      </c>
      <c r="D1361" s="293">
        <v>11.81</v>
      </c>
      <c r="E1361" s="293">
        <v>1.75</v>
      </c>
      <c r="F1361" s="293" t="s">
        <v>330</v>
      </c>
      <c r="G1361" s="288"/>
      <c r="I1361" s="288"/>
      <c r="J1361" s="288"/>
      <c r="K1361" s="288"/>
    </row>
    <row r="1362" spans="1:11">
      <c r="A1362" s="287"/>
      <c r="B1362" s="288" t="s">
        <v>757</v>
      </c>
      <c r="C1362" s="292" t="s">
        <v>1009</v>
      </c>
      <c r="D1362" s="288" t="s">
        <v>1316</v>
      </c>
      <c r="E1362" s="293">
        <v>2.31</v>
      </c>
      <c r="F1362" s="293" t="s">
        <v>2435</v>
      </c>
      <c r="G1362" s="288"/>
      <c r="I1362" s="288"/>
      <c r="J1362" s="288"/>
      <c r="K1362" s="288"/>
    </row>
    <row r="1363" spans="1:11">
      <c r="A1363" s="287"/>
      <c r="B1363" s="288" t="s">
        <v>757</v>
      </c>
      <c r="C1363" s="292" t="s">
        <v>1010</v>
      </c>
      <c r="D1363" s="293">
        <v>13.25</v>
      </c>
      <c r="E1363" s="293">
        <v>2.1</v>
      </c>
      <c r="F1363" s="293" t="s">
        <v>332</v>
      </c>
      <c r="G1363" s="288"/>
      <c r="I1363" s="288"/>
      <c r="J1363" s="288"/>
      <c r="K1363" s="288"/>
    </row>
    <row r="1364" spans="1:11">
      <c r="A1364" s="287"/>
      <c r="B1364" s="288" t="s">
        <v>757</v>
      </c>
      <c r="C1364" s="292" t="s">
        <v>1011</v>
      </c>
      <c r="D1364" s="293">
        <v>13.25</v>
      </c>
      <c r="E1364" s="293">
        <v>1.8</v>
      </c>
      <c r="F1364" s="293" t="s">
        <v>332</v>
      </c>
      <c r="G1364" s="293"/>
      <c r="I1364" s="288"/>
      <c r="J1364" s="288"/>
      <c r="K1364" s="288"/>
    </row>
    <row r="1365" spans="1:11">
      <c r="A1365" s="287"/>
      <c r="B1365" s="288" t="s">
        <v>757</v>
      </c>
      <c r="C1365" s="292" t="s">
        <v>1012</v>
      </c>
      <c r="D1365" s="293">
        <v>14.22</v>
      </c>
      <c r="E1365" s="293">
        <v>2.37</v>
      </c>
      <c r="F1365" s="293" t="s">
        <v>364</v>
      </c>
      <c r="G1365" s="293"/>
      <c r="I1365" s="293"/>
      <c r="J1365" s="293"/>
      <c r="K1365" s="293"/>
    </row>
    <row r="1366" spans="1:11">
      <c r="A1366" s="287"/>
      <c r="B1366" s="288" t="s">
        <v>757</v>
      </c>
      <c r="C1366" s="292" t="s">
        <v>1013</v>
      </c>
      <c r="D1366" s="293">
        <v>11.77</v>
      </c>
      <c r="E1366" s="293">
        <v>2.2400000000000002</v>
      </c>
      <c r="F1366" s="293" t="s">
        <v>3668</v>
      </c>
      <c r="G1366" s="293"/>
      <c r="I1366" s="288"/>
      <c r="J1366" s="288"/>
      <c r="K1366" s="288"/>
    </row>
    <row r="1367" spans="1:11">
      <c r="A1367" s="287"/>
      <c r="B1367" s="288" t="s">
        <v>757</v>
      </c>
      <c r="C1367" s="292" t="s">
        <v>1014</v>
      </c>
      <c r="D1367" s="288" t="s">
        <v>1317</v>
      </c>
      <c r="E1367" s="293">
        <v>1.75</v>
      </c>
      <c r="F1367" s="293" t="s">
        <v>3668</v>
      </c>
      <c r="G1367" s="288"/>
      <c r="I1367" s="288"/>
      <c r="J1367" s="288"/>
      <c r="K1367" s="288"/>
    </row>
    <row r="1368" spans="1:11">
      <c r="A1368" s="287"/>
      <c r="B1368" s="288" t="s">
        <v>758</v>
      </c>
      <c r="C1368" s="292" t="s">
        <v>823</v>
      </c>
      <c r="D1368" s="293">
        <v>9.73</v>
      </c>
      <c r="E1368" s="293">
        <v>2.0499999999999998</v>
      </c>
      <c r="F1368" s="293" t="s">
        <v>332</v>
      </c>
      <c r="G1368" s="288"/>
      <c r="I1368" s="288"/>
      <c r="J1368" s="288"/>
      <c r="K1368" s="288"/>
    </row>
    <row r="1369" spans="1:11">
      <c r="A1369" s="287"/>
      <c r="B1369" s="288" t="s">
        <v>758</v>
      </c>
      <c r="C1369" s="292" t="s">
        <v>1016</v>
      </c>
      <c r="D1369" s="288" t="s">
        <v>2090</v>
      </c>
      <c r="E1369" s="293">
        <v>2.2999999999999998</v>
      </c>
      <c r="F1369" s="293" t="s">
        <v>342</v>
      </c>
      <c r="G1369" s="288"/>
      <c r="I1369" s="288"/>
      <c r="J1369" s="288"/>
      <c r="K1369" s="288"/>
    </row>
    <row r="1370" spans="1:11">
      <c r="A1370" s="287"/>
      <c r="B1370" s="288" t="s">
        <v>758</v>
      </c>
      <c r="C1370" s="292" t="s">
        <v>1017</v>
      </c>
      <c r="D1370" s="293">
        <v>10.97</v>
      </c>
      <c r="E1370" s="293">
        <v>2.36</v>
      </c>
      <c r="F1370" s="293" t="s">
        <v>342</v>
      </c>
      <c r="G1370" s="288"/>
      <c r="I1370" s="293"/>
      <c r="J1370" s="293"/>
      <c r="K1370" s="293"/>
    </row>
    <row r="1371" spans="1:11">
      <c r="A1371" s="287"/>
      <c r="B1371" s="288" t="s">
        <v>758</v>
      </c>
      <c r="C1371" s="292" t="s">
        <v>1018</v>
      </c>
      <c r="D1371" s="293">
        <v>10.97</v>
      </c>
      <c r="E1371" s="293">
        <v>2.2999999999999998</v>
      </c>
      <c r="F1371" s="288" t="s">
        <v>342</v>
      </c>
      <c r="G1371" s="288"/>
      <c r="I1371" s="293"/>
      <c r="J1371" s="293"/>
      <c r="K1371" s="293"/>
    </row>
    <row r="1372" spans="1:11">
      <c r="A1372" s="287"/>
      <c r="B1372" s="288" t="s">
        <v>758</v>
      </c>
      <c r="C1372" s="292" t="s">
        <v>1019</v>
      </c>
      <c r="D1372" s="293">
        <v>10.97</v>
      </c>
      <c r="E1372" s="293">
        <v>2.31</v>
      </c>
      <c r="F1372" s="288" t="s">
        <v>342</v>
      </c>
      <c r="G1372" s="288"/>
      <c r="I1372" s="288"/>
      <c r="J1372" s="288"/>
      <c r="K1372" s="288"/>
    </row>
    <row r="1373" spans="1:11">
      <c r="A1373" s="287"/>
      <c r="B1373" s="288" t="s">
        <v>758</v>
      </c>
      <c r="C1373" s="292" t="s">
        <v>1020</v>
      </c>
      <c r="D1373" s="288" t="s">
        <v>1318</v>
      </c>
      <c r="E1373" s="293">
        <v>2.48</v>
      </c>
      <c r="F1373" s="293" t="s">
        <v>342</v>
      </c>
      <c r="G1373" s="293"/>
      <c r="I1373" s="288"/>
      <c r="J1373" s="288"/>
      <c r="K1373" s="288"/>
    </row>
    <row r="1374" spans="1:11">
      <c r="A1374" s="287"/>
      <c r="B1374" s="288" t="s">
        <v>758</v>
      </c>
      <c r="C1374" s="292" t="s">
        <v>1021</v>
      </c>
      <c r="D1374" s="293">
        <v>10.97</v>
      </c>
      <c r="E1374" s="293">
        <v>2.2799999999999998</v>
      </c>
      <c r="F1374" s="293" t="s">
        <v>342</v>
      </c>
      <c r="G1374" s="288"/>
      <c r="H1374" s="296"/>
      <c r="I1374" s="288"/>
      <c r="J1374" s="288"/>
      <c r="K1374" s="288"/>
    </row>
    <row r="1375" spans="1:11">
      <c r="A1375" s="287"/>
      <c r="B1375" s="288" t="s">
        <v>758</v>
      </c>
      <c r="C1375" s="292" t="s">
        <v>825</v>
      </c>
      <c r="D1375" s="293">
        <v>11.78</v>
      </c>
      <c r="E1375" s="293">
        <v>2.69</v>
      </c>
      <c r="F1375" s="293" t="s">
        <v>366</v>
      </c>
      <c r="G1375" s="288"/>
      <c r="H1375" s="296"/>
      <c r="I1375" s="288"/>
      <c r="J1375" s="288"/>
      <c r="K1375" s="288"/>
    </row>
    <row r="1376" spans="1:11">
      <c r="A1376" s="287"/>
      <c r="B1376" s="288" t="s">
        <v>758</v>
      </c>
      <c r="C1376" s="292" t="s">
        <v>826</v>
      </c>
      <c r="D1376" s="293">
        <v>11.78</v>
      </c>
      <c r="E1376" s="293">
        <v>2.69</v>
      </c>
      <c r="F1376" s="293" t="s">
        <v>366</v>
      </c>
      <c r="G1376" s="288"/>
      <c r="I1376" s="288"/>
      <c r="J1376" s="288"/>
      <c r="K1376" s="288"/>
    </row>
    <row r="1377" spans="1:11">
      <c r="A1377" s="287"/>
      <c r="B1377" s="288" t="s">
        <v>758</v>
      </c>
      <c r="C1377" s="292" t="s">
        <v>1457</v>
      </c>
      <c r="D1377" s="293">
        <v>11.78</v>
      </c>
      <c r="E1377" s="293">
        <v>2.65</v>
      </c>
      <c r="F1377" s="293" t="s">
        <v>366</v>
      </c>
      <c r="G1377" s="288"/>
      <c r="I1377" s="288"/>
      <c r="J1377" s="288"/>
      <c r="K1377" s="288"/>
    </row>
    <row r="1378" spans="1:11">
      <c r="A1378" s="287"/>
      <c r="B1378" s="288" t="s">
        <v>758</v>
      </c>
      <c r="C1378" s="292" t="s">
        <v>1458</v>
      </c>
      <c r="D1378" s="293">
        <v>11.78</v>
      </c>
      <c r="E1378" s="293">
        <v>2.0099999999999998</v>
      </c>
      <c r="F1378" s="293" t="s">
        <v>366</v>
      </c>
      <c r="G1378" s="288"/>
      <c r="I1378" s="288"/>
      <c r="J1378" s="288"/>
      <c r="K1378" s="288"/>
    </row>
    <row r="1379" spans="1:11">
      <c r="A1379" s="287"/>
      <c r="B1379" s="288" t="s">
        <v>758</v>
      </c>
      <c r="C1379" s="292" t="s">
        <v>1023</v>
      </c>
      <c r="D1379" s="288" t="s">
        <v>1319</v>
      </c>
      <c r="E1379" s="293">
        <v>2.85</v>
      </c>
      <c r="F1379" s="293" t="s">
        <v>2408</v>
      </c>
      <c r="G1379" s="288"/>
      <c r="I1379" s="293"/>
      <c r="J1379" s="293"/>
      <c r="K1379" s="293"/>
    </row>
    <row r="1380" spans="1:11">
      <c r="A1380" s="287"/>
      <c r="B1380" s="288" t="s">
        <v>758</v>
      </c>
      <c r="C1380" s="292" t="s">
        <v>1024</v>
      </c>
      <c r="D1380" s="288" t="s">
        <v>1320</v>
      </c>
      <c r="E1380" s="293">
        <v>3.07</v>
      </c>
      <c r="F1380" s="293" t="s">
        <v>344</v>
      </c>
      <c r="G1380" s="288"/>
      <c r="I1380" s="293"/>
      <c r="J1380" s="293"/>
      <c r="K1380" s="293"/>
    </row>
    <row r="1381" spans="1:11">
      <c r="A1381" s="287"/>
      <c r="B1381" s="288" t="s">
        <v>758</v>
      </c>
      <c r="C1381" s="292" t="s">
        <v>1025</v>
      </c>
      <c r="D1381" s="293">
        <v>14.27</v>
      </c>
      <c r="E1381" s="293">
        <v>2.94</v>
      </c>
      <c r="F1381" s="293" t="s">
        <v>2409</v>
      </c>
      <c r="G1381" s="288"/>
      <c r="I1381" s="293"/>
      <c r="J1381" s="293"/>
      <c r="K1381" s="293"/>
    </row>
    <row r="1382" spans="1:11">
      <c r="A1382" s="287"/>
      <c r="B1382" s="288" t="s">
        <v>758</v>
      </c>
      <c r="C1382" s="292" t="s">
        <v>1022</v>
      </c>
      <c r="D1382" s="293">
        <v>13.1</v>
      </c>
      <c r="E1382" s="293">
        <v>2.77</v>
      </c>
      <c r="F1382" s="288" t="s">
        <v>339</v>
      </c>
      <c r="G1382" s="288"/>
      <c r="I1382" s="288"/>
      <c r="J1382" s="288"/>
      <c r="K1382" s="288"/>
    </row>
    <row r="1383" spans="1:11">
      <c r="A1383" s="287"/>
      <c r="B1383" s="288" t="s">
        <v>760</v>
      </c>
      <c r="C1383" s="292" t="s">
        <v>1460</v>
      </c>
      <c r="D1383" s="293">
        <v>9.99</v>
      </c>
      <c r="E1383" s="293">
        <v>2.15</v>
      </c>
      <c r="F1383" s="288" t="s">
        <v>337</v>
      </c>
      <c r="G1383" s="288"/>
      <c r="H1383" s="296"/>
      <c r="I1383" s="288"/>
      <c r="J1383" s="288"/>
      <c r="K1383" s="288"/>
    </row>
    <row r="1384" spans="1:11">
      <c r="A1384" s="287"/>
      <c r="B1384" s="288" t="s">
        <v>760</v>
      </c>
      <c r="C1384" s="292" t="s">
        <v>1459</v>
      </c>
      <c r="D1384" s="293">
        <v>9.99</v>
      </c>
      <c r="E1384" s="293">
        <v>2.25</v>
      </c>
      <c r="F1384" s="288" t="s">
        <v>337</v>
      </c>
      <c r="G1384" s="293"/>
      <c r="H1384" s="296"/>
      <c r="I1384" s="293"/>
      <c r="J1384" s="293"/>
      <c r="K1384" s="293"/>
    </row>
    <row r="1385" spans="1:11">
      <c r="A1385" s="287"/>
      <c r="B1385" s="288" t="s">
        <v>761</v>
      </c>
      <c r="C1385" s="292" t="s">
        <v>1032</v>
      </c>
      <c r="D1385" s="288" t="s">
        <v>1321</v>
      </c>
      <c r="E1385" s="293">
        <v>1.8</v>
      </c>
      <c r="F1385" s="293" t="s">
        <v>350</v>
      </c>
      <c r="G1385" s="288"/>
      <c r="H1385" s="296"/>
      <c r="I1385" s="293"/>
      <c r="J1385" s="293"/>
      <c r="K1385" s="293"/>
    </row>
    <row r="1386" spans="1:11">
      <c r="A1386" s="287"/>
      <c r="B1386" s="288" t="s">
        <v>761</v>
      </c>
      <c r="C1386" s="292" t="s">
        <v>1033</v>
      </c>
      <c r="D1386" s="293">
        <v>9.1300000000000008</v>
      </c>
      <c r="E1386" s="293">
        <v>1.72</v>
      </c>
      <c r="F1386" s="293" t="s">
        <v>3635</v>
      </c>
      <c r="G1386" s="288"/>
      <c r="I1386" s="293"/>
      <c r="J1386" s="293"/>
      <c r="K1386" s="293"/>
    </row>
    <row r="1387" spans="1:11">
      <c r="A1387" s="287"/>
      <c r="B1387" s="288" t="s">
        <v>761</v>
      </c>
      <c r="C1387" s="292" t="s">
        <v>1034</v>
      </c>
      <c r="D1387" s="293">
        <v>10.210000000000001</v>
      </c>
      <c r="E1387" s="293">
        <v>1.36</v>
      </c>
      <c r="F1387" s="293" t="s">
        <v>2437</v>
      </c>
      <c r="G1387" s="288"/>
      <c r="I1387" s="293"/>
      <c r="J1387" s="293"/>
      <c r="K1387" s="293"/>
    </row>
    <row r="1388" spans="1:11">
      <c r="A1388" s="287"/>
      <c r="B1388" s="288" t="s">
        <v>761</v>
      </c>
      <c r="C1388" s="292" t="s">
        <v>1035</v>
      </c>
      <c r="D1388" s="288" t="s">
        <v>2145</v>
      </c>
      <c r="E1388" s="288" t="s">
        <v>327</v>
      </c>
      <c r="F1388" s="293" t="s">
        <v>2645</v>
      </c>
      <c r="G1388" s="288"/>
      <c r="H1388" s="296"/>
      <c r="I1388" s="293"/>
      <c r="J1388" s="293"/>
      <c r="K1388" s="293"/>
    </row>
    <row r="1389" spans="1:11">
      <c r="A1389" s="287"/>
      <c r="B1389" s="288" t="s">
        <v>761</v>
      </c>
      <c r="C1389" s="292" t="s">
        <v>1036</v>
      </c>
      <c r="D1389" s="293">
        <v>11.28</v>
      </c>
      <c r="E1389" s="293">
        <v>1.58</v>
      </c>
      <c r="F1389" s="293" t="s">
        <v>1029</v>
      </c>
      <c r="G1389" s="293"/>
      <c r="H1389" s="296"/>
      <c r="I1389" s="293"/>
      <c r="J1389" s="293"/>
      <c r="K1389" s="293"/>
    </row>
    <row r="1390" spans="1:11">
      <c r="A1390" s="287"/>
      <c r="B1390" s="288" t="s">
        <v>761</v>
      </c>
      <c r="C1390" s="292" t="s">
        <v>1037</v>
      </c>
      <c r="D1390" s="293">
        <v>11.38</v>
      </c>
      <c r="E1390" s="288" t="s">
        <v>327</v>
      </c>
      <c r="F1390" s="293" t="s">
        <v>3618</v>
      </c>
      <c r="G1390" s="293"/>
      <c r="H1390" s="296"/>
      <c r="I1390" s="293"/>
      <c r="J1390" s="293"/>
      <c r="K1390" s="293"/>
    </row>
    <row r="1391" spans="1:11">
      <c r="A1391" s="287"/>
      <c r="B1391" s="288" t="s">
        <v>761</v>
      </c>
      <c r="C1391" s="292" t="s">
        <v>1038</v>
      </c>
      <c r="D1391" s="293">
        <v>11.25</v>
      </c>
      <c r="E1391" s="293">
        <v>2.36</v>
      </c>
      <c r="F1391" s="293" t="s">
        <v>364</v>
      </c>
      <c r="G1391" s="288"/>
      <c r="H1391" s="296"/>
      <c r="I1391" s="293"/>
      <c r="J1391" s="293"/>
      <c r="K1391" s="293"/>
    </row>
    <row r="1392" spans="1:11">
      <c r="A1392" s="287"/>
      <c r="B1392" s="288" t="s">
        <v>761</v>
      </c>
      <c r="C1392" s="292" t="s">
        <v>1039</v>
      </c>
      <c r="D1392" s="293">
        <v>12.57</v>
      </c>
      <c r="E1392" s="293">
        <v>1.61</v>
      </c>
      <c r="F1392" s="293" t="s">
        <v>2408</v>
      </c>
      <c r="G1392" s="288"/>
      <c r="H1392" s="296"/>
      <c r="I1392" s="293"/>
      <c r="J1392" s="293"/>
      <c r="K1392" s="293"/>
    </row>
    <row r="1393" spans="1:11">
      <c r="A1393" s="287"/>
      <c r="B1393" s="288" t="s">
        <v>761</v>
      </c>
      <c r="C1393" s="292" t="s">
        <v>1040</v>
      </c>
      <c r="D1393" s="293">
        <v>14.68</v>
      </c>
      <c r="E1393" s="293">
        <v>2.2799999999999998</v>
      </c>
      <c r="F1393" s="293" t="s">
        <v>2422</v>
      </c>
      <c r="G1393" s="288"/>
      <c r="H1393" s="296"/>
      <c r="I1393" s="293"/>
      <c r="J1393" s="293"/>
      <c r="K1393" s="293"/>
    </row>
    <row r="1394" spans="1:11">
      <c r="A1394" s="287"/>
      <c r="B1394" s="288" t="s">
        <v>762</v>
      </c>
      <c r="C1394" s="292" t="s">
        <v>56</v>
      </c>
      <c r="D1394" s="288" t="s">
        <v>1322</v>
      </c>
      <c r="E1394" s="293">
        <v>1.81</v>
      </c>
      <c r="F1394" s="293" t="s">
        <v>3616</v>
      </c>
      <c r="G1394" s="288"/>
      <c r="H1394" s="296"/>
      <c r="I1394" s="293"/>
      <c r="J1394" s="293"/>
      <c r="K1394" s="293"/>
    </row>
    <row r="1395" spans="1:11">
      <c r="A1395" s="287"/>
      <c r="B1395" s="288" t="s">
        <v>762</v>
      </c>
      <c r="C1395" s="292" t="s">
        <v>57</v>
      </c>
      <c r="D1395" s="293">
        <v>11.99</v>
      </c>
      <c r="E1395" s="293">
        <v>2.23</v>
      </c>
      <c r="F1395" s="293" t="s">
        <v>2442</v>
      </c>
      <c r="G1395" s="288"/>
      <c r="H1395" s="296"/>
      <c r="I1395" s="293"/>
      <c r="J1395" s="293"/>
      <c r="K1395" s="293"/>
    </row>
    <row r="1396" spans="1:11">
      <c r="A1396" s="287"/>
      <c r="B1396" s="288" t="s">
        <v>762</v>
      </c>
      <c r="C1396" s="292" t="s">
        <v>58</v>
      </c>
      <c r="D1396" s="288" t="s">
        <v>2045</v>
      </c>
      <c r="E1396" s="293">
        <v>2.39</v>
      </c>
      <c r="F1396" s="293" t="s">
        <v>376</v>
      </c>
      <c r="G1396" s="288"/>
      <c r="H1396" s="296"/>
      <c r="I1396" s="293"/>
      <c r="J1396" s="293"/>
      <c r="K1396" s="293"/>
    </row>
    <row r="1397" spans="1:11">
      <c r="A1397" s="287"/>
      <c r="B1397" s="288" t="s">
        <v>762</v>
      </c>
      <c r="C1397" s="292" t="s">
        <v>59</v>
      </c>
      <c r="D1397" s="293">
        <v>14.99</v>
      </c>
      <c r="E1397" s="293">
        <v>3.05</v>
      </c>
      <c r="F1397" s="293" t="s">
        <v>2404</v>
      </c>
      <c r="G1397" s="288"/>
      <c r="H1397" s="296"/>
      <c r="I1397" s="288"/>
      <c r="J1397" s="288"/>
      <c r="K1397" s="288"/>
    </row>
    <row r="1398" spans="1:11">
      <c r="A1398" s="287"/>
      <c r="B1398" s="288" t="s">
        <v>759</v>
      </c>
      <c r="C1398" s="292" t="s">
        <v>1028</v>
      </c>
      <c r="D1398" s="293">
        <v>7.27</v>
      </c>
      <c r="E1398" s="293">
        <v>1.57</v>
      </c>
      <c r="F1398" s="293" t="s">
        <v>1029</v>
      </c>
      <c r="G1398" s="293"/>
      <c r="H1398" s="296"/>
      <c r="I1398" s="288"/>
      <c r="J1398" s="288"/>
      <c r="K1398" s="288"/>
    </row>
    <row r="1399" spans="1:11">
      <c r="A1399" s="287"/>
      <c r="B1399" s="288" t="s">
        <v>759</v>
      </c>
      <c r="C1399" s="292" t="s">
        <v>63</v>
      </c>
      <c r="D1399" s="293">
        <v>8.6999999999999993</v>
      </c>
      <c r="E1399" s="293">
        <v>2.4</v>
      </c>
      <c r="F1399" s="293" t="s">
        <v>2424</v>
      </c>
      <c r="G1399" s="293"/>
      <c r="H1399" s="296"/>
      <c r="I1399" s="288"/>
      <c r="J1399" s="288"/>
      <c r="K1399" s="288"/>
    </row>
    <row r="1400" spans="1:11">
      <c r="A1400" s="287"/>
      <c r="B1400" s="288" t="s">
        <v>759</v>
      </c>
      <c r="C1400" s="292" t="s">
        <v>64</v>
      </c>
      <c r="D1400" s="293">
        <v>9.1999999999999993</v>
      </c>
      <c r="E1400" s="293">
        <v>2.59</v>
      </c>
      <c r="F1400" s="293" t="s">
        <v>2424</v>
      </c>
      <c r="G1400" s="293"/>
      <c r="H1400" s="296"/>
      <c r="I1400" s="288"/>
      <c r="J1400" s="288"/>
      <c r="K1400" s="288"/>
    </row>
    <row r="1401" spans="1:11">
      <c r="A1401" s="287"/>
      <c r="B1401" s="288" t="s">
        <v>759</v>
      </c>
      <c r="C1401" s="292" t="s">
        <v>65</v>
      </c>
      <c r="D1401" s="293">
        <v>9.8000000000000007</v>
      </c>
      <c r="E1401" s="293">
        <v>2.69</v>
      </c>
      <c r="F1401" s="293" t="s">
        <v>332</v>
      </c>
      <c r="G1401" s="288"/>
      <c r="I1401" s="288"/>
      <c r="J1401" s="288"/>
      <c r="K1401" s="288"/>
    </row>
    <row r="1402" spans="1:11">
      <c r="A1402" s="287"/>
      <c r="B1402" s="288" t="s">
        <v>759</v>
      </c>
      <c r="C1402" s="292" t="s">
        <v>66</v>
      </c>
      <c r="D1402" s="293">
        <v>6.53</v>
      </c>
      <c r="E1402" s="293">
        <v>1.79</v>
      </c>
      <c r="F1402" s="293" t="s">
        <v>2409</v>
      </c>
      <c r="G1402" s="288"/>
      <c r="I1402" s="288"/>
      <c r="J1402" s="288"/>
      <c r="K1402" s="288"/>
    </row>
    <row r="1403" spans="1:11">
      <c r="A1403" s="287"/>
      <c r="B1403" s="288" t="s">
        <v>763</v>
      </c>
      <c r="C1403" s="292" t="s">
        <v>75</v>
      </c>
      <c r="D1403" s="288" t="s">
        <v>1325</v>
      </c>
      <c r="E1403" s="293">
        <v>1.6</v>
      </c>
      <c r="F1403" s="293" t="s">
        <v>3618</v>
      </c>
      <c r="G1403" s="293"/>
      <c r="I1403" s="288"/>
      <c r="J1403" s="288"/>
      <c r="K1403" s="288"/>
    </row>
    <row r="1404" spans="1:11">
      <c r="A1404" s="287"/>
      <c r="B1404" s="288" t="s">
        <v>763</v>
      </c>
      <c r="C1404" s="292" t="s">
        <v>76</v>
      </c>
      <c r="D1404" s="293">
        <v>8.5</v>
      </c>
      <c r="E1404" s="293">
        <v>1.37</v>
      </c>
      <c r="F1404" s="293" t="s">
        <v>2439</v>
      </c>
      <c r="G1404" s="293"/>
      <c r="I1404" s="288"/>
      <c r="J1404" s="288"/>
      <c r="K1404" s="288"/>
    </row>
    <row r="1405" spans="1:11">
      <c r="A1405" s="287"/>
      <c r="B1405" s="288" t="s">
        <v>763</v>
      </c>
      <c r="C1405" s="292" t="s">
        <v>77</v>
      </c>
      <c r="D1405" s="293">
        <v>8.39</v>
      </c>
      <c r="E1405" s="293">
        <v>1.45</v>
      </c>
      <c r="F1405" s="293" t="s">
        <v>2431</v>
      </c>
      <c r="G1405" s="293"/>
      <c r="I1405" s="288"/>
      <c r="J1405" s="288"/>
      <c r="K1405" s="288"/>
    </row>
    <row r="1406" spans="1:11">
      <c r="A1406" s="287"/>
      <c r="B1406" s="288" t="s">
        <v>763</v>
      </c>
      <c r="C1406" s="292" t="s">
        <v>78</v>
      </c>
      <c r="D1406" s="293">
        <v>9.51</v>
      </c>
      <c r="E1406" s="293">
        <v>1.96</v>
      </c>
      <c r="F1406" s="293" t="s">
        <v>2437</v>
      </c>
      <c r="G1406" s="293"/>
      <c r="I1406" s="293"/>
      <c r="J1406" s="293"/>
      <c r="K1406" s="293"/>
    </row>
    <row r="1407" spans="1:11">
      <c r="A1407" s="287"/>
      <c r="B1407" s="288" t="s">
        <v>763</v>
      </c>
      <c r="C1407" s="292" t="s">
        <v>79</v>
      </c>
      <c r="D1407" s="293">
        <v>7.23</v>
      </c>
      <c r="E1407" s="293">
        <v>1.4</v>
      </c>
      <c r="F1407" s="293" t="s">
        <v>2437</v>
      </c>
      <c r="G1407" s="293"/>
      <c r="I1407" s="288"/>
      <c r="J1407" s="288"/>
      <c r="K1407" s="288"/>
    </row>
    <row r="1408" spans="1:11">
      <c r="A1408" s="287"/>
      <c r="B1408" s="288" t="s">
        <v>763</v>
      </c>
      <c r="C1408" s="292" t="s">
        <v>80</v>
      </c>
      <c r="D1408" s="293">
        <v>7.23</v>
      </c>
      <c r="E1408" s="293">
        <v>1.6</v>
      </c>
      <c r="F1408" s="293" t="s">
        <v>2437</v>
      </c>
      <c r="G1408" s="293"/>
      <c r="I1408" s="288"/>
      <c r="J1408" s="288"/>
      <c r="K1408" s="288"/>
    </row>
    <row r="1409" spans="1:11">
      <c r="A1409" s="287"/>
      <c r="B1409" s="288" t="s">
        <v>763</v>
      </c>
      <c r="C1409" s="292" t="s">
        <v>81</v>
      </c>
      <c r="D1409" s="293">
        <v>7.23</v>
      </c>
      <c r="E1409" s="293">
        <v>1.6</v>
      </c>
      <c r="F1409" s="293" t="s">
        <v>2437</v>
      </c>
      <c r="G1409" s="293"/>
      <c r="I1409" s="288"/>
      <c r="J1409" s="288"/>
      <c r="K1409" s="288"/>
    </row>
    <row r="1410" spans="1:11">
      <c r="A1410" s="287"/>
      <c r="B1410" s="288" t="s">
        <v>764</v>
      </c>
      <c r="C1410" s="292" t="s">
        <v>82</v>
      </c>
      <c r="D1410" s="288" t="s">
        <v>2090</v>
      </c>
      <c r="E1410" s="293">
        <v>2.1800000000000002</v>
      </c>
      <c r="F1410" s="293" t="s">
        <v>2405</v>
      </c>
      <c r="G1410" s="293"/>
      <c r="H1410" s="296"/>
      <c r="I1410" s="288"/>
      <c r="J1410" s="288"/>
      <c r="K1410" s="288"/>
    </row>
    <row r="1411" spans="1:11">
      <c r="A1411" s="287"/>
      <c r="B1411" s="288" t="s">
        <v>764</v>
      </c>
      <c r="C1411" s="292" t="s">
        <v>83</v>
      </c>
      <c r="D1411" s="293">
        <v>11.28</v>
      </c>
      <c r="E1411" s="293">
        <v>2.08</v>
      </c>
      <c r="F1411" s="293" t="s">
        <v>355</v>
      </c>
      <c r="G1411" s="293"/>
      <c r="I1411" s="288"/>
      <c r="J1411" s="288"/>
      <c r="K1411" s="288"/>
    </row>
    <row r="1412" spans="1:11">
      <c r="A1412" s="287"/>
      <c r="B1412" s="288" t="s">
        <v>764</v>
      </c>
      <c r="C1412" s="292" t="s">
        <v>84</v>
      </c>
      <c r="D1412" s="293">
        <v>11.56</v>
      </c>
      <c r="E1412" s="293">
        <v>2.17</v>
      </c>
      <c r="F1412" s="293" t="s">
        <v>2442</v>
      </c>
      <c r="G1412" s="293"/>
      <c r="I1412" s="288"/>
      <c r="J1412" s="288"/>
      <c r="K1412" s="288"/>
    </row>
    <row r="1413" spans="1:11">
      <c r="A1413" s="287"/>
      <c r="B1413" s="288" t="s">
        <v>765</v>
      </c>
      <c r="C1413" s="292" t="s">
        <v>90</v>
      </c>
      <c r="D1413" s="288" t="s">
        <v>1327</v>
      </c>
      <c r="E1413" s="293">
        <v>1.52</v>
      </c>
      <c r="F1413" s="293" t="s">
        <v>3618</v>
      </c>
      <c r="G1413" s="293"/>
      <c r="I1413" s="288"/>
      <c r="J1413" s="288"/>
      <c r="K1413" s="288"/>
    </row>
    <row r="1414" spans="1:11">
      <c r="A1414" s="287"/>
      <c r="B1414" s="288" t="s">
        <v>765</v>
      </c>
      <c r="C1414" s="292" t="s">
        <v>91</v>
      </c>
      <c r="D1414" s="293">
        <v>8.6</v>
      </c>
      <c r="E1414" s="293">
        <v>2</v>
      </c>
      <c r="F1414" s="288" t="s">
        <v>342</v>
      </c>
      <c r="G1414" s="293"/>
      <c r="I1414" s="293"/>
      <c r="J1414" s="293"/>
      <c r="K1414" s="293"/>
    </row>
    <row r="1415" spans="1:11">
      <c r="A1415" s="287"/>
      <c r="B1415" s="288" t="s">
        <v>765</v>
      </c>
      <c r="C1415" s="292" t="s">
        <v>92</v>
      </c>
      <c r="D1415" s="288" t="s">
        <v>1328</v>
      </c>
      <c r="E1415" s="293">
        <v>1.71</v>
      </c>
      <c r="F1415" s="293" t="s">
        <v>3618</v>
      </c>
      <c r="G1415" s="293"/>
      <c r="I1415" s="288"/>
      <c r="J1415" s="288"/>
      <c r="K1415" s="288"/>
    </row>
    <row r="1416" spans="1:11">
      <c r="A1416" s="287"/>
      <c r="B1416" s="288" t="s">
        <v>765</v>
      </c>
      <c r="C1416" s="292" t="s">
        <v>93</v>
      </c>
      <c r="D1416" s="288" t="s">
        <v>1329</v>
      </c>
      <c r="E1416" s="293">
        <v>1.9</v>
      </c>
      <c r="F1416" s="293" t="s">
        <v>3638</v>
      </c>
      <c r="G1416" s="288"/>
    </row>
    <row r="1417" spans="1:11">
      <c r="A1417" s="287"/>
      <c r="B1417" s="288" t="s">
        <v>766</v>
      </c>
      <c r="C1417" s="292" t="s">
        <v>88</v>
      </c>
      <c r="D1417" s="293">
        <v>9.4600000000000009</v>
      </c>
      <c r="E1417" s="293">
        <v>1.86</v>
      </c>
      <c r="F1417" s="288" t="s">
        <v>355</v>
      </c>
      <c r="G1417" s="288"/>
    </row>
    <row r="1418" spans="1:11">
      <c r="A1418" s="287"/>
      <c r="B1418" s="288" t="s">
        <v>766</v>
      </c>
      <c r="C1418" s="292" t="s">
        <v>89</v>
      </c>
      <c r="D1418" s="293">
        <v>11.39</v>
      </c>
      <c r="E1418" s="293">
        <v>2.0499999999999998</v>
      </c>
      <c r="F1418" s="288" t="s">
        <v>349</v>
      </c>
      <c r="G1418" s="288"/>
      <c r="H1418" s="296"/>
    </row>
    <row r="1419" spans="1:11">
      <c r="A1419" s="287"/>
      <c r="B1419" s="288" t="s">
        <v>2741</v>
      </c>
      <c r="C1419" s="292" t="s">
        <v>3048</v>
      </c>
      <c r="D1419" s="293">
        <v>10.81</v>
      </c>
      <c r="E1419" s="293">
        <v>1.52</v>
      </c>
      <c r="F1419" s="293" t="s">
        <v>3668</v>
      </c>
      <c r="G1419" s="288"/>
    </row>
    <row r="1420" spans="1:11">
      <c r="A1420" s="287"/>
      <c r="B1420" s="288" t="s">
        <v>2741</v>
      </c>
      <c r="C1420" s="292" t="s">
        <v>4236</v>
      </c>
      <c r="D1420" s="288" t="s">
        <v>2119</v>
      </c>
      <c r="E1420" s="293">
        <v>1.65</v>
      </c>
      <c r="F1420" s="293" t="s">
        <v>2437</v>
      </c>
      <c r="G1420" s="288"/>
    </row>
    <row r="1421" spans="1:11">
      <c r="A1421" s="287"/>
      <c r="B1421" s="288" t="s">
        <v>2741</v>
      </c>
      <c r="C1421" s="292" t="s">
        <v>4237</v>
      </c>
      <c r="D1421" s="293">
        <v>9.7100000000000009</v>
      </c>
      <c r="E1421" s="293">
        <v>1.22</v>
      </c>
      <c r="F1421" s="293" t="s">
        <v>2437</v>
      </c>
      <c r="G1421" s="288"/>
    </row>
    <row r="1422" spans="1:11">
      <c r="A1422" s="287"/>
      <c r="B1422" s="288" t="s">
        <v>2741</v>
      </c>
      <c r="C1422" s="292" t="s">
        <v>4249</v>
      </c>
      <c r="D1422" s="293">
        <v>7.32</v>
      </c>
      <c r="E1422" s="293">
        <v>1.53</v>
      </c>
      <c r="F1422" s="293" t="s">
        <v>2422</v>
      </c>
      <c r="G1422" s="288"/>
    </row>
    <row r="1423" spans="1:11">
      <c r="A1423" s="287"/>
      <c r="B1423" s="288" t="s">
        <v>2741</v>
      </c>
      <c r="C1423" s="292" t="s">
        <v>1461</v>
      </c>
      <c r="D1423" s="293">
        <v>8.89</v>
      </c>
      <c r="E1423" s="293">
        <v>1.6</v>
      </c>
      <c r="F1423" s="293" t="s">
        <v>350</v>
      </c>
      <c r="G1423" s="288"/>
    </row>
    <row r="1424" spans="1:11">
      <c r="A1424" s="287"/>
      <c r="B1424" s="288" t="s">
        <v>2741</v>
      </c>
      <c r="C1424" s="292" t="s">
        <v>1462</v>
      </c>
      <c r="D1424" s="293">
        <v>8.89</v>
      </c>
      <c r="E1424" s="293">
        <v>1.73</v>
      </c>
      <c r="F1424" s="293" t="s">
        <v>350</v>
      </c>
      <c r="G1424" s="288"/>
    </row>
    <row r="1425" spans="1:7">
      <c r="A1425" s="287"/>
      <c r="B1425" s="288" t="s">
        <v>2741</v>
      </c>
      <c r="C1425" s="292" t="s">
        <v>4250</v>
      </c>
      <c r="D1425" s="293">
        <v>10.130000000000001</v>
      </c>
      <c r="E1425" s="293">
        <v>1.98</v>
      </c>
      <c r="F1425" s="293" t="s">
        <v>364</v>
      </c>
      <c r="G1425" s="293"/>
    </row>
    <row r="1426" spans="1:7">
      <c r="A1426" s="287"/>
      <c r="B1426" s="288" t="s">
        <v>2741</v>
      </c>
      <c r="C1426" s="292" t="s">
        <v>4251</v>
      </c>
      <c r="D1426" s="293">
        <v>10.32</v>
      </c>
      <c r="E1426" s="293">
        <v>2</v>
      </c>
      <c r="F1426" s="293" t="s">
        <v>2435</v>
      </c>
      <c r="G1426" s="288"/>
    </row>
    <row r="1427" spans="1:7">
      <c r="A1427" s="287"/>
      <c r="B1427" s="288" t="s">
        <v>2741</v>
      </c>
      <c r="C1427" s="292" t="s">
        <v>4252</v>
      </c>
      <c r="D1427" s="293">
        <v>10.220000000000001</v>
      </c>
      <c r="E1427" s="293">
        <v>2</v>
      </c>
      <c r="F1427" s="293" t="s">
        <v>2412</v>
      </c>
      <c r="G1427" s="288"/>
    </row>
    <row r="1428" spans="1:7">
      <c r="A1428" s="287"/>
      <c r="B1428" s="288" t="s">
        <v>2741</v>
      </c>
      <c r="C1428" s="292" t="s">
        <v>3461</v>
      </c>
      <c r="D1428" s="293">
        <v>8.7799999999999994</v>
      </c>
      <c r="E1428" s="293">
        <v>0.98</v>
      </c>
      <c r="F1428" s="293" t="s">
        <v>2437</v>
      </c>
      <c r="G1428" s="288"/>
    </row>
    <row r="1429" spans="1:7">
      <c r="A1429" s="287"/>
      <c r="B1429" s="288" t="s">
        <v>2741</v>
      </c>
      <c r="C1429" s="292" t="s">
        <v>3462</v>
      </c>
      <c r="D1429" s="293">
        <v>8.7799999999999994</v>
      </c>
      <c r="E1429" s="293">
        <v>1.62</v>
      </c>
      <c r="F1429" s="293" t="s">
        <v>2437</v>
      </c>
      <c r="G1429" s="288"/>
    </row>
    <row r="1430" spans="1:7">
      <c r="A1430" s="287"/>
      <c r="B1430" s="288" t="s">
        <v>2741</v>
      </c>
      <c r="C1430" s="292" t="s">
        <v>2621</v>
      </c>
      <c r="D1430" s="293">
        <v>9.3000000000000007</v>
      </c>
      <c r="E1430" s="293">
        <v>1.65</v>
      </c>
      <c r="F1430" s="293" t="s">
        <v>330</v>
      </c>
      <c r="G1430" s="288"/>
    </row>
    <row r="1431" spans="1:7">
      <c r="A1431" s="287"/>
      <c r="B1431" s="288" t="s">
        <v>2741</v>
      </c>
      <c r="C1431" s="292" t="s">
        <v>2622</v>
      </c>
      <c r="D1431" s="293">
        <v>10.15</v>
      </c>
      <c r="E1431" s="293">
        <v>1.68</v>
      </c>
      <c r="F1431" s="293" t="s">
        <v>2408</v>
      </c>
      <c r="G1431" s="288"/>
    </row>
    <row r="1432" spans="1:7">
      <c r="A1432" s="287"/>
      <c r="B1432" s="288" t="s">
        <v>2741</v>
      </c>
      <c r="C1432" s="292" t="s">
        <v>1840</v>
      </c>
      <c r="D1432" s="293">
        <v>10.15</v>
      </c>
      <c r="E1432" s="293">
        <v>1.7</v>
      </c>
      <c r="F1432" s="293" t="s">
        <v>3069</v>
      </c>
      <c r="G1432" s="288"/>
    </row>
    <row r="1433" spans="1:7">
      <c r="A1433" s="287"/>
      <c r="B1433" s="288" t="s">
        <v>2741</v>
      </c>
      <c r="C1433" s="292" t="s">
        <v>1841</v>
      </c>
      <c r="D1433" s="293">
        <v>11.38</v>
      </c>
      <c r="E1433" s="293">
        <v>1.83</v>
      </c>
      <c r="F1433" s="288" t="s">
        <v>2405</v>
      </c>
      <c r="G1433" s="293"/>
    </row>
    <row r="1434" spans="1:7">
      <c r="A1434" s="287" t="s">
        <v>2407</v>
      </c>
      <c r="B1434" s="288" t="s">
        <v>2741</v>
      </c>
      <c r="C1434" s="292" t="s">
        <v>4097</v>
      </c>
      <c r="D1434" s="293">
        <v>7.9</v>
      </c>
      <c r="E1434" s="293">
        <v>1.7</v>
      </c>
      <c r="F1434" s="293" t="s">
        <v>3638</v>
      </c>
      <c r="G1434" s="288"/>
    </row>
    <row r="1435" spans="1:7">
      <c r="A1435" s="287"/>
      <c r="B1435" s="288" t="s">
        <v>2741</v>
      </c>
      <c r="C1435" s="292" t="s">
        <v>2212</v>
      </c>
      <c r="D1435" s="293">
        <v>10.15</v>
      </c>
      <c r="E1435" s="293">
        <v>1.7</v>
      </c>
      <c r="F1435" s="293" t="s">
        <v>3069</v>
      </c>
    </row>
    <row r="1436" spans="1:7">
      <c r="A1436" s="287"/>
      <c r="B1436" s="288" t="s">
        <v>2741</v>
      </c>
      <c r="C1436" s="292" t="s">
        <v>827</v>
      </c>
      <c r="D1436" s="293">
        <v>10.15</v>
      </c>
      <c r="E1436" s="293">
        <v>1.7</v>
      </c>
      <c r="F1436" s="293" t="s">
        <v>3069</v>
      </c>
    </row>
    <row r="1437" spans="1:7">
      <c r="A1437" s="287"/>
      <c r="B1437" s="288" t="s">
        <v>2741</v>
      </c>
      <c r="C1437" s="292" t="s">
        <v>87</v>
      </c>
      <c r="D1437" s="293">
        <v>11.38</v>
      </c>
      <c r="E1437" s="293">
        <v>1.83</v>
      </c>
      <c r="F1437" s="293" t="s">
        <v>2405</v>
      </c>
    </row>
    <row r="1438" spans="1:7">
      <c r="A1438" s="287"/>
      <c r="B1438" s="288" t="s">
        <v>2955</v>
      </c>
      <c r="C1438" s="292" t="s">
        <v>4169</v>
      </c>
      <c r="D1438" s="288" t="s">
        <v>2141</v>
      </c>
      <c r="E1438" s="293">
        <v>2.14</v>
      </c>
      <c r="F1438" s="293" t="s">
        <v>3647</v>
      </c>
    </row>
    <row r="1439" spans="1:7">
      <c r="A1439" s="287"/>
      <c r="B1439" s="288" t="s">
        <v>2955</v>
      </c>
      <c r="C1439" s="292" t="s">
        <v>4170</v>
      </c>
      <c r="D1439" s="293">
        <v>12.1</v>
      </c>
      <c r="E1439" s="293">
        <v>2.41</v>
      </c>
      <c r="F1439" s="293" t="s">
        <v>366</v>
      </c>
    </row>
    <row r="1440" spans="1:7">
      <c r="A1440" s="287"/>
      <c r="B1440" s="288" t="s">
        <v>2955</v>
      </c>
      <c r="C1440" s="292" t="s">
        <v>106</v>
      </c>
      <c r="D1440" s="293">
        <v>10</v>
      </c>
      <c r="E1440" s="293">
        <v>1.9</v>
      </c>
      <c r="F1440" s="293" t="s">
        <v>349</v>
      </c>
    </row>
    <row r="1441" spans="1:6">
      <c r="A1441" s="287"/>
      <c r="B1441" s="288" t="s">
        <v>2955</v>
      </c>
      <c r="C1441" s="292" t="s">
        <v>107</v>
      </c>
      <c r="D1441" s="288" t="s">
        <v>1331</v>
      </c>
      <c r="E1441" s="293">
        <v>2</v>
      </c>
      <c r="F1441" s="293" t="s">
        <v>2442</v>
      </c>
    </row>
    <row r="1442" spans="1:6">
      <c r="A1442" s="287"/>
      <c r="B1442" s="288" t="s">
        <v>2955</v>
      </c>
      <c r="C1442" s="292" t="s">
        <v>1381</v>
      </c>
      <c r="D1442" s="293">
        <v>10.029999999999999</v>
      </c>
      <c r="E1442" s="293">
        <v>1.91</v>
      </c>
      <c r="F1442" s="293" t="s">
        <v>355</v>
      </c>
    </row>
    <row r="1443" spans="1:6">
      <c r="A1443" s="287"/>
      <c r="B1443" s="288" t="s">
        <v>2955</v>
      </c>
      <c r="C1443" s="292" t="s">
        <v>1466</v>
      </c>
      <c r="D1443" s="293">
        <v>9.0299999999999994</v>
      </c>
      <c r="E1443" s="293">
        <v>1.55</v>
      </c>
      <c r="F1443" s="293" t="s">
        <v>2406</v>
      </c>
    </row>
    <row r="1444" spans="1:6">
      <c r="A1444" s="287"/>
      <c r="B1444" s="288" t="s">
        <v>2955</v>
      </c>
      <c r="C1444" s="292" t="s">
        <v>1464</v>
      </c>
      <c r="D1444" s="288" t="s">
        <v>1332</v>
      </c>
      <c r="E1444" s="293">
        <v>1.7</v>
      </c>
      <c r="F1444" s="293" t="s">
        <v>2406</v>
      </c>
    </row>
    <row r="1445" spans="1:6">
      <c r="A1445" s="287"/>
      <c r="B1445" s="288" t="s">
        <v>2955</v>
      </c>
      <c r="C1445" s="292" t="s">
        <v>1465</v>
      </c>
      <c r="D1445" s="293">
        <v>9.0299999999999994</v>
      </c>
      <c r="E1445" s="293">
        <v>1.7</v>
      </c>
      <c r="F1445" s="293" t="s">
        <v>2406</v>
      </c>
    </row>
    <row r="1446" spans="1:6">
      <c r="A1446" s="287"/>
      <c r="B1446" s="288" t="s">
        <v>2955</v>
      </c>
      <c r="C1446" s="292" t="s">
        <v>1467</v>
      </c>
      <c r="D1446" s="293">
        <v>10.06</v>
      </c>
      <c r="E1446" s="293">
        <v>1.81</v>
      </c>
      <c r="F1446" s="293" t="s">
        <v>2406</v>
      </c>
    </row>
    <row r="1447" spans="1:6">
      <c r="A1447" s="287"/>
      <c r="B1447" s="288" t="s">
        <v>2955</v>
      </c>
      <c r="C1447" s="292" t="s">
        <v>1468</v>
      </c>
      <c r="D1447" s="293">
        <v>10.06</v>
      </c>
      <c r="E1447" s="293">
        <v>2.15</v>
      </c>
      <c r="F1447" s="293" t="s">
        <v>2406</v>
      </c>
    </row>
    <row r="1448" spans="1:6">
      <c r="A1448" s="287"/>
      <c r="B1448" s="288" t="s">
        <v>2955</v>
      </c>
      <c r="C1448" s="292" t="s">
        <v>1382</v>
      </c>
      <c r="D1448" s="293">
        <v>10.36</v>
      </c>
      <c r="E1448" s="293">
        <v>1.89</v>
      </c>
      <c r="F1448" s="288" t="s">
        <v>2413</v>
      </c>
    </row>
    <row r="1449" spans="1:6">
      <c r="A1449" s="287"/>
      <c r="B1449" s="288" t="s">
        <v>2955</v>
      </c>
      <c r="C1449" s="292" t="s">
        <v>1383</v>
      </c>
      <c r="D1449" s="293">
        <v>10.220000000000001</v>
      </c>
      <c r="E1449" s="293">
        <v>1.85</v>
      </c>
      <c r="F1449" s="293" t="s">
        <v>352</v>
      </c>
    </row>
    <row r="1450" spans="1:6">
      <c r="A1450" s="287"/>
      <c r="B1450" s="288" t="s">
        <v>2955</v>
      </c>
      <c r="C1450" s="292" t="s">
        <v>828</v>
      </c>
      <c r="D1450" s="293">
        <v>10.61</v>
      </c>
      <c r="E1450" s="293">
        <v>2.15</v>
      </c>
      <c r="F1450" s="293" t="s">
        <v>2412</v>
      </c>
    </row>
    <row r="1451" spans="1:6">
      <c r="A1451" s="287"/>
      <c r="B1451" s="288" t="s">
        <v>2955</v>
      </c>
      <c r="C1451" s="292" t="s">
        <v>1469</v>
      </c>
      <c r="D1451" s="293">
        <v>10.72</v>
      </c>
      <c r="E1451" s="293">
        <v>1.9</v>
      </c>
      <c r="F1451" s="293" t="s">
        <v>376</v>
      </c>
    </row>
    <row r="1452" spans="1:6">
      <c r="A1452" s="287"/>
      <c r="B1452" s="288" t="s">
        <v>2955</v>
      </c>
      <c r="C1452" s="292" t="s">
        <v>1471</v>
      </c>
      <c r="D1452" s="293">
        <v>10.72</v>
      </c>
      <c r="E1452" s="293">
        <v>2.0499999999999998</v>
      </c>
      <c r="F1452" s="293" t="s">
        <v>376</v>
      </c>
    </row>
    <row r="1453" spans="1:6">
      <c r="A1453" s="287"/>
      <c r="B1453" s="288" t="s">
        <v>2955</v>
      </c>
      <c r="C1453" s="292" t="s">
        <v>1470</v>
      </c>
      <c r="D1453" s="293">
        <v>10.72</v>
      </c>
      <c r="E1453" s="293">
        <v>2.2400000000000002</v>
      </c>
      <c r="F1453" s="293" t="s">
        <v>376</v>
      </c>
    </row>
    <row r="1454" spans="1:6">
      <c r="A1454" s="287"/>
      <c r="B1454" s="288" t="s">
        <v>2955</v>
      </c>
      <c r="C1454" s="292" t="s">
        <v>1472</v>
      </c>
      <c r="D1454" s="293">
        <v>11.35</v>
      </c>
      <c r="E1454" s="293">
        <v>1.98</v>
      </c>
      <c r="F1454" s="293" t="s">
        <v>344</v>
      </c>
    </row>
    <row r="1455" spans="1:6">
      <c r="A1455" s="287"/>
      <c r="B1455" s="288" t="s">
        <v>2955</v>
      </c>
      <c r="C1455" s="292" t="s">
        <v>1473</v>
      </c>
      <c r="D1455" s="293">
        <v>11.35</v>
      </c>
      <c r="E1455" s="293">
        <v>2.3199999999999998</v>
      </c>
      <c r="F1455" s="293" t="s">
        <v>344</v>
      </c>
    </row>
    <row r="1456" spans="1:6">
      <c r="A1456" s="287"/>
      <c r="B1456" s="288" t="s">
        <v>2955</v>
      </c>
      <c r="C1456" s="292" t="s">
        <v>1474</v>
      </c>
      <c r="D1456" s="293">
        <v>11.02</v>
      </c>
      <c r="E1456" s="293">
        <v>1.98</v>
      </c>
      <c r="F1456" s="293" t="s">
        <v>3069</v>
      </c>
    </row>
    <row r="1457" spans="1:6">
      <c r="A1457" s="287"/>
      <c r="B1457" s="288" t="s">
        <v>2955</v>
      </c>
      <c r="C1457" s="292" t="s">
        <v>1475</v>
      </c>
      <c r="D1457" s="288" t="s">
        <v>2089</v>
      </c>
      <c r="E1457" s="293">
        <v>2</v>
      </c>
      <c r="F1457" s="293" t="s">
        <v>3069</v>
      </c>
    </row>
    <row r="1458" spans="1:6">
      <c r="A1458" s="287"/>
      <c r="B1458" s="288" t="s">
        <v>2955</v>
      </c>
      <c r="C1458" s="292" t="s">
        <v>1384</v>
      </c>
      <c r="D1458" s="288" t="s">
        <v>1333</v>
      </c>
      <c r="E1458" s="293">
        <v>2.0099999999999998</v>
      </c>
      <c r="F1458" s="293" t="s">
        <v>3647</v>
      </c>
    </row>
    <row r="1459" spans="1:6">
      <c r="A1459" s="287"/>
      <c r="B1459" s="288" t="s">
        <v>2955</v>
      </c>
      <c r="C1459" s="292" t="s">
        <v>4818</v>
      </c>
      <c r="D1459" s="288" t="s">
        <v>584</v>
      </c>
      <c r="E1459" s="288" t="s">
        <v>431</v>
      </c>
      <c r="F1459" s="288" t="s">
        <v>2143</v>
      </c>
    </row>
    <row r="1460" spans="1:6">
      <c r="A1460" s="287"/>
      <c r="B1460" s="288" t="s">
        <v>2955</v>
      </c>
      <c r="C1460" s="292" t="s">
        <v>4819</v>
      </c>
      <c r="D1460" s="288" t="s">
        <v>584</v>
      </c>
      <c r="E1460" s="288" t="s">
        <v>506</v>
      </c>
      <c r="F1460" s="288" t="s">
        <v>2143</v>
      </c>
    </row>
    <row r="1461" spans="1:6">
      <c r="A1461" s="287"/>
      <c r="B1461" s="288" t="s">
        <v>2955</v>
      </c>
      <c r="C1461" s="292" t="s">
        <v>1476</v>
      </c>
      <c r="D1461" s="293">
        <v>12.19</v>
      </c>
      <c r="E1461" s="293">
        <v>2.1</v>
      </c>
      <c r="F1461" s="293" t="s">
        <v>344</v>
      </c>
    </row>
    <row r="1462" spans="1:6">
      <c r="A1462" s="287"/>
      <c r="B1462" s="288" t="s">
        <v>2955</v>
      </c>
      <c r="C1462" s="292" t="s">
        <v>1477</v>
      </c>
      <c r="D1462" s="288" t="s">
        <v>1334</v>
      </c>
      <c r="E1462" s="293">
        <v>2.35</v>
      </c>
      <c r="F1462" s="293" t="s">
        <v>344</v>
      </c>
    </row>
    <row r="1463" spans="1:6">
      <c r="A1463" s="287"/>
      <c r="B1463" s="288" t="s">
        <v>2955</v>
      </c>
      <c r="C1463" s="292" t="s">
        <v>1479</v>
      </c>
      <c r="D1463" s="293">
        <v>12.04</v>
      </c>
      <c r="E1463" s="293">
        <v>2.13</v>
      </c>
      <c r="F1463" s="293" t="s">
        <v>328</v>
      </c>
    </row>
    <row r="1464" spans="1:6">
      <c r="A1464" s="287"/>
      <c r="B1464" s="288" t="s">
        <v>2955</v>
      </c>
      <c r="C1464" s="292" t="s">
        <v>1478</v>
      </c>
      <c r="D1464" s="293">
        <v>12.04</v>
      </c>
      <c r="E1464" s="293">
        <v>2.2400000000000002</v>
      </c>
      <c r="F1464" s="293" t="s">
        <v>328</v>
      </c>
    </row>
    <row r="1465" spans="1:6">
      <c r="A1465" s="287"/>
      <c r="B1465" s="288" t="s">
        <v>2955</v>
      </c>
      <c r="C1465" s="292" t="s">
        <v>1385</v>
      </c>
      <c r="D1465" s="293">
        <v>12.34</v>
      </c>
      <c r="E1465" s="293">
        <v>2.5</v>
      </c>
      <c r="F1465" s="288" t="s">
        <v>2413</v>
      </c>
    </row>
    <row r="1466" spans="1:6">
      <c r="A1466" s="287"/>
      <c r="B1466" s="288" t="s">
        <v>2955</v>
      </c>
      <c r="C1466" s="292" t="s">
        <v>1386</v>
      </c>
      <c r="D1466" s="288" t="s">
        <v>1335</v>
      </c>
      <c r="E1466" s="293">
        <v>2.1</v>
      </c>
      <c r="F1466" s="293" t="s">
        <v>2405</v>
      </c>
    </row>
    <row r="1467" spans="1:6">
      <c r="A1467" s="287"/>
      <c r="B1467" s="288" t="s">
        <v>2955</v>
      </c>
      <c r="C1467" s="292" t="s">
        <v>1387</v>
      </c>
      <c r="D1467" s="288" t="s">
        <v>1335</v>
      </c>
      <c r="E1467" s="293">
        <v>2.17</v>
      </c>
      <c r="F1467" s="293" t="s">
        <v>2405</v>
      </c>
    </row>
    <row r="1468" spans="1:6">
      <c r="A1468" s="287"/>
      <c r="B1468" s="288" t="s">
        <v>2955</v>
      </c>
      <c r="C1468" s="292" t="s">
        <v>1480</v>
      </c>
      <c r="D1468" s="293">
        <v>12.94</v>
      </c>
      <c r="E1468" s="293">
        <v>2.2000000000000002</v>
      </c>
      <c r="F1468" s="293" t="s">
        <v>2410</v>
      </c>
    </row>
    <row r="1469" spans="1:6">
      <c r="A1469" s="287"/>
      <c r="B1469" s="288" t="s">
        <v>2955</v>
      </c>
      <c r="C1469" s="292" t="s">
        <v>1388</v>
      </c>
      <c r="D1469" s="293">
        <v>13.53</v>
      </c>
      <c r="E1469" s="293">
        <v>2.35</v>
      </c>
      <c r="F1469" s="293" t="s">
        <v>376</v>
      </c>
    </row>
    <row r="1470" spans="1:6">
      <c r="A1470" s="287"/>
      <c r="B1470" s="288" t="s">
        <v>2955</v>
      </c>
      <c r="C1470" s="292" t="s">
        <v>1389</v>
      </c>
      <c r="D1470" s="293">
        <v>13.53</v>
      </c>
      <c r="E1470" s="293">
        <v>2.2999999999999998</v>
      </c>
      <c r="F1470" s="293" t="s">
        <v>376</v>
      </c>
    </row>
    <row r="1471" spans="1:6">
      <c r="A1471" s="287" t="s">
        <v>2407</v>
      </c>
      <c r="B1471" s="288" t="s">
        <v>2955</v>
      </c>
      <c r="C1471" s="292" t="s">
        <v>1390</v>
      </c>
      <c r="D1471" s="293">
        <v>13.53</v>
      </c>
      <c r="E1471" s="293">
        <v>2.35</v>
      </c>
      <c r="F1471" s="293" t="s">
        <v>376</v>
      </c>
    </row>
    <row r="1472" spans="1:6">
      <c r="A1472" s="287"/>
      <c r="B1472" s="288" t="s">
        <v>2955</v>
      </c>
      <c r="C1472" s="292" t="s">
        <v>1391</v>
      </c>
      <c r="D1472" s="293">
        <v>13.47</v>
      </c>
      <c r="E1472" s="293">
        <v>2.5</v>
      </c>
      <c r="F1472" s="293" t="s">
        <v>347</v>
      </c>
    </row>
    <row r="1473" spans="1:6">
      <c r="A1473" s="287"/>
      <c r="B1473" s="288" t="s">
        <v>2955</v>
      </c>
      <c r="C1473" s="292" t="s">
        <v>1481</v>
      </c>
      <c r="D1473" s="293">
        <v>14.01</v>
      </c>
      <c r="E1473" s="293">
        <v>2.35</v>
      </c>
      <c r="F1473" s="293" t="s">
        <v>2410</v>
      </c>
    </row>
    <row r="1474" spans="1:6">
      <c r="A1474" s="287"/>
      <c r="B1474" s="288" t="s">
        <v>2955</v>
      </c>
      <c r="C1474" s="292" t="s">
        <v>1482</v>
      </c>
      <c r="D1474" s="293">
        <v>14.01</v>
      </c>
      <c r="E1474" s="293">
        <v>2.7</v>
      </c>
      <c r="F1474" s="293" t="s">
        <v>2410</v>
      </c>
    </row>
    <row r="1475" spans="1:6">
      <c r="A1475" s="287"/>
      <c r="B1475" s="288" t="s">
        <v>2955</v>
      </c>
      <c r="C1475" s="292" t="s">
        <v>1485</v>
      </c>
      <c r="D1475" s="293">
        <v>14.5</v>
      </c>
      <c r="E1475" s="293">
        <v>2.2000000000000002</v>
      </c>
      <c r="F1475" s="293" t="s">
        <v>2404</v>
      </c>
    </row>
    <row r="1476" spans="1:6">
      <c r="A1476" s="287"/>
      <c r="B1476" s="288" t="s">
        <v>2955</v>
      </c>
      <c r="C1476" s="292" t="s">
        <v>1483</v>
      </c>
      <c r="D1476" s="293">
        <v>14.5</v>
      </c>
      <c r="E1476" s="293">
        <v>2.5</v>
      </c>
      <c r="F1476" s="293" t="s">
        <v>2404</v>
      </c>
    </row>
    <row r="1477" spans="1:6">
      <c r="A1477" s="287"/>
      <c r="B1477" s="288" t="s">
        <v>2955</v>
      </c>
      <c r="C1477" s="292" t="s">
        <v>1484</v>
      </c>
      <c r="D1477" s="288" t="s">
        <v>1336</v>
      </c>
      <c r="E1477" s="293">
        <v>2.84</v>
      </c>
      <c r="F1477" s="293" t="s">
        <v>2404</v>
      </c>
    </row>
    <row r="1478" spans="1:6">
      <c r="A1478" s="287"/>
      <c r="B1478" s="288" t="s">
        <v>2955</v>
      </c>
      <c r="C1478" s="292" t="s">
        <v>1392</v>
      </c>
      <c r="D1478" s="293">
        <v>15.24</v>
      </c>
      <c r="E1478" s="293">
        <v>3</v>
      </c>
      <c r="F1478" s="293" t="s">
        <v>344</v>
      </c>
    </row>
    <row r="1479" spans="1:6">
      <c r="A1479" s="287"/>
      <c r="B1479" s="288" t="s">
        <v>2955</v>
      </c>
      <c r="C1479" s="292" t="s">
        <v>1393</v>
      </c>
      <c r="D1479" s="293">
        <v>15.56</v>
      </c>
      <c r="E1479" s="293">
        <v>3.03</v>
      </c>
      <c r="F1479" s="293" t="s">
        <v>330</v>
      </c>
    </row>
    <row r="1480" spans="1:6">
      <c r="A1480" s="287"/>
      <c r="B1480" s="288" t="s">
        <v>2955</v>
      </c>
      <c r="C1480" s="292" t="s">
        <v>505</v>
      </c>
      <c r="D1480" s="293">
        <v>16.760000000000002</v>
      </c>
      <c r="E1480" s="288" t="s">
        <v>506</v>
      </c>
      <c r="F1480" s="288" t="s">
        <v>2413</v>
      </c>
    </row>
    <row r="1481" spans="1:6">
      <c r="A1481" s="287"/>
      <c r="B1481" s="288" t="s">
        <v>2955</v>
      </c>
      <c r="C1481" s="292" t="s">
        <v>509</v>
      </c>
      <c r="D1481" s="293">
        <v>16.760000000000002</v>
      </c>
      <c r="E1481" s="288" t="s">
        <v>507</v>
      </c>
      <c r="F1481" s="288" t="s">
        <v>2413</v>
      </c>
    </row>
    <row r="1482" spans="1:6">
      <c r="A1482" s="287"/>
      <c r="B1482" s="288" t="s">
        <v>2955</v>
      </c>
      <c r="C1482" s="292" t="s">
        <v>504</v>
      </c>
      <c r="D1482" s="293">
        <v>16.760000000000002</v>
      </c>
      <c r="E1482" s="288" t="s">
        <v>508</v>
      </c>
      <c r="F1482" s="288" t="s">
        <v>2413</v>
      </c>
    </row>
    <row r="1483" spans="1:6">
      <c r="A1483" s="287"/>
      <c r="B1483" s="288" t="s">
        <v>2955</v>
      </c>
      <c r="C1483" s="292" t="s">
        <v>1394</v>
      </c>
      <c r="D1483" s="293">
        <v>16.98</v>
      </c>
      <c r="E1483" s="293">
        <v>2.85</v>
      </c>
      <c r="F1483" s="293" t="s">
        <v>364</v>
      </c>
    </row>
    <row r="1484" spans="1:6">
      <c r="A1484" s="287"/>
      <c r="B1484" s="288" t="s">
        <v>2955</v>
      </c>
      <c r="C1484" s="292" t="s">
        <v>1486</v>
      </c>
      <c r="D1484" s="293">
        <v>18.28</v>
      </c>
      <c r="E1484" s="293">
        <v>2.9</v>
      </c>
      <c r="F1484" s="293" t="s">
        <v>342</v>
      </c>
    </row>
    <row r="1485" spans="1:6">
      <c r="A1485" s="287"/>
      <c r="B1485" s="288" t="s">
        <v>2955</v>
      </c>
      <c r="C1485" s="292" t="s">
        <v>1487</v>
      </c>
      <c r="D1485" s="293">
        <v>18.32</v>
      </c>
      <c r="E1485" s="293">
        <v>3.2</v>
      </c>
      <c r="F1485" s="293" t="s">
        <v>342</v>
      </c>
    </row>
    <row r="1486" spans="1:6">
      <c r="A1486" s="287"/>
      <c r="B1486" s="288" t="s">
        <v>2955</v>
      </c>
      <c r="C1486" s="292" t="s">
        <v>1395</v>
      </c>
      <c r="D1486" s="293">
        <v>19.97</v>
      </c>
      <c r="E1486" s="293">
        <v>3</v>
      </c>
      <c r="F1486" s="288" t="s">
        <v>2411</v>
      </c>
    </row>
    <row r="1487" spans="1:6">
      <c r="A1487" s="287"/>
      <c r="B1487" s="288" t="s">
        <v>2955</v>
      </c>
      <c r="C1487" s="292" t="s">
        <v>1396</v>
      </c>
      <c r="D1487" s="288" t="s">
        <v>1337</v>
      </c>
      <c r="E1487" s="293">
        <v>1.32</v>
      </c>
      <c r="F1487" s="293" t="s">
        <v>2437</v>
      </c>
    </row>
    <row r="1488" spans="1:6">
      <c r="A1488" s="287"/>
      <c r="B1488" s="288" t="s">
        <v>2955</v>
      </c>
      <c r="C1488" s="292" t="s">
        <v>1397</v>
      </c>
      <c r="D1488" s="293">
        <v>9.25</v>
      </c>
      <c r="E1488" s="293">
        <v>1.75</v>
      </c>
      <c r="F1488" s="293" t="s">
        <v>3616</v>
      </c>
    </row>
    <row r="1489" spans="1:9">
      <c r="A1489" s="287"/>
      <c r="B1489" s="288" t="s">
        <v>2955</v>
      </c>
      <c r="C1489" s="292" t="s">
        <v>1398</v>
      </c>
      <c r="D1489" s="293">
        <v>10</v>
      </c>
      <c r="E1489" s="293">
        <v>1.79</v>
      </c>
      <c r="F1489" s="293" t="s">
        <v>355</v>
      </c>
    </row>
    <row r="1490" spans="1:9">
      <c r="A1490" s="287"/>
      <c r="B1490" s="288" t="s">
        <v>2955</v>
      </c>
      <c r="C1490" s="292" t="s">
        <v>500</v>
      </c>
      <c r="D1490" s="288" t="s">
        <v>501</v>
      </c>
      <c r="E1490" s="288" t="s">
        <v>448</v>
      </c>
      <c r="F1490" s="288" t="s">
        <v>337</v>
      </c>
    </row>
    <row r="1491" spans="1:9">
      <c r="A1491" s="287"/>
      <c r="B1491" s="288" t="s">
        <v>2955</v>
      </c>
      <c r="C1491" s="292" t="s">
        <v>1399</v>
      </c>
      <c r="D1491" s="293">
        <v>12.81</v>
      </c>
      <c r="E1491" s="293">
        <v>2.1</v>
      </c>
      <c r="F1491" s="288" t="s">
        <v>2411</v>
      </c>
    </row>
    <row r="1492" spans="1:9">
      <c r="A1492" s="287"/>
      <c r="B1492" s="288" t="s">
        <v>2955</v>
      </c>
      <c r="C1492" s="292" t="s">
        <v>1489</v>
      </c>
      <c r="D1492" s="293">
        <v>13.86</v>
      </c>
      <c r="E1492" s="293">
        <v>2.2000000000000002</v>
      </c>
      <c r="F1492" s="288" t="s">
        <v>334</v>
      </c>
      <c r="I1492" s="418" t="s">
        <v>588</v>
      </c>
    </row>
    <row r="1493" spans="1:9">
      <c r="A1493" s="287"/>
      <c r="B1493" s="288" t="s">
        <v>2955</v>
      </c>
      <c r="C1493" s="292" t="s">
        <v>1488</v>
      </c>
      <c r="D1493" s="293">
        <v>13.86</v>
      </c>
      <c r="E1493" s="293">
        <v>2.35</v>
      </c>
      <c r="F1493" s="288" t="s">
        <v>334</v>
      </c>
    </row>
    <row r="1494" spans="1:9">
      <c r="A1494" s="287"/>
      <c r="B1494" s="288" t="s">
        <v>2955</v>
      </c>
      <c r="C1494" s="292" t="s">
        <v>1400</v>
      </c>
      <c r="D1494" s="293">
        <v>14.99</v>
      </c>
      <c r="E1494" s="293">
        <v>2.35</v>
      </c>
      <c r="F1494" s="288" t="s">
        <v>337</v>
      </c>
    </row>
    <row r="1495" spans="1:9">
      <c r="A1495" s="287"/>
      <c r="B1495" s="288" t="s">
        <v>2955</v>
      </c>
      <c r="C1495" s="292" t="s">
        <v>502</v>
      </c>
      <c r="D1495" s="288" t="s">
        <v>2104</v>
      </c>
      <c r="E1495" s="288" t="s">
        <v>432</v>
      </c>
      <c r="F1495" s="288" t="s">
        <v>3089</v>
      </c>
    </row>
    <row r="1496" spans="1:9">
      <c r="A1496" s="287"/>
      <c r="B1496" s="288" t="s">
        <v>2955</v>
      </c>
      <c r="C1496" s="292" t="s">
        <v>1401</v>
      </c>
      <c r="D1496" s="293">
        <v>11.58</v>
      </c>
      <c r="E1496" s="293">
        <v>2.1</v>
      </c>
      <c r="F1496" s="288" t="s">
        <v>339</v>
      </c>
    </row>
    <row r="1497" spans="1:9">
      <c r="A1497" s="287"/>
      <c r="B1497" s="288" t="s">
        <v>2955</v>
      </c>
      <c r="C1497" s="292" t="s">
        <v>1402</v>
      </c>
      <c r="D1497" s="293">
        <v>11.58</v>
      </c>
      <c r="E1497" s="293">
        <v>2.4</v>
      </c>
      <c r="F1497" s="288" t="s">
        <v>339</v>
      </c>
    </row>
    <row r="1498" spans="1:9">
      <c r="A1498" s="287"/>
      <c r="B1498" s="288" t="s">
        <v>2955</v>
      </c>
      <c r="C1498" s="292" t="s">
        <v>1490</v>
      </c>
      <c r="D1498" s="293">
        <v>13.29</v>
      </c>
      <c r="E1498" s="293">
        <v>2.65</v>
      </c>
      <c r="F1498" s="288" t="s">
        <v>339</v>
      </c>
    </row>
    <row r="1499" spans="1:9">
      <c r="A1499" s="287"/>
      <c r="B1499" s="288" t="s">
        <v>2955</v>
      </c>
      <c r="C1499" s="292" t="s">
        <v>503</v>
      </c>
      <c r="D1499" s="288" t="s">
        <v>1291</v>
      </c>
      <c r="E1499" s="288" t="s">
        <v>1731</v>
      </c>
      <c r="F1499" s="288" t="s">
        <v>3089</v>
      </c>
    </row>
    <row r="1500" spans="1:9">
      <c r="A1500" s="287"/>
      <c r="B1500" s="288" t="s">
        <v>767</v>
      </c>
      <c r="C1500" s="292" t="s">
        <v>510</v>
      </c>
      <c r="D1500" s="288" t="s">
        <v>1339</v>
      </c>
      <c r="E1500" s="293">
        <v>1.46</v>
      </c>
      <c r="F1500" s="288" t="s">
        <v>328</v>
      </c>
    </row>
    <row r="1501" spans="1:9">
      <c r="A1501" s="287"/>
      <c r="B1501" s="288" t="s">
        <v>767</v>
      </c>
      <c r="C1501" s="292" t="s">
        <v>2702</v>
      </c>
      <c r="D1501" s="293">
        <v>7.49</v>
      </c>
      <c r="E1501" s="293">
        <v>1.5</v>
      </c>
      <c r="F1501" s="288" t="s">
        <v>3069</v>
      </c>
    </row>
    <row r="1502" spans="1:9">
      <c r="A1502" s="287"/>
      <c r="B1502" s="288" t="s">
        <v>767</v>
      </c>
      <c r="C1502" s="292" t="s">
        <v>2703</v>
      </c>
      <c r="D1502" s="288" t="s">
        <v>1340</v>
      </c>
      <c r="E1502" s="293">
        <v>1.87</v>
      </c>
      <c r="F1502" s="288" t="s">
        <v>376</v>
      </c>
    </row>
    <row r="1503" spans="1:9">
      <c r="A1503" s="287"/>
      <c r="B1503" s="288" t="s">
        <v>767</v>
      </c>
      <c r="C1503" s="292" t="s">
        <v>2704</v>
      </c>
      <c r="D1503" s="293">
        <v>8.99</v>
      </c>
      <c r="E1503" s="293">
        <v>2.04</v>
      </c>
      <c r="F1503" s="288" t="s">
        <v>364</v>
      </c>
    </row>
    <row r="1504" spans="1:9">
      <c r="A1504" s="287"/>
      <c r="B1504" s="288" t="s">
        <v>767</v>
      </c>
      <c r="C1504" s="292" t="s">
        <v>2705</v>
      </c>
      <c r="D1504" s="293">
        <v>9.4700000000000006</v>
      </c>
      <c r="E1504" s="293">
        <v>1.84</v>
      </c>
      <c r="F1504" s="288" t="s">
        <v>2405</v>
      </c>
    </row>
    <row r="1505" spans="1:6">
      <c r="A1505" s="287"/>
      <c r="B1505" s="288" t="s">
        <v>767</v>
      </c>
      <c r="C1505" s="292" t="s">
        <v>2706</v>
      </c>
      <c r="D1505" s="293">
        <v>10.17</v>
      </c>
      <c r="E1505" s="293">
        <v>1.9</v>
      </c>
      <c r="F1505" s="293" t="s">
        <v>350</v>
      </c>
    </row>
    <row r="1506" spans="1:6">
      <c r="A1506" s="287"/>
      <c r="B1506" s="288" t="s">
        <v>767</v>
      </c>
      <c r="C1506" s="292" t="s">
        <v>2707</v>
      </c>
      <c r="D1506" s="293">
        <v>9.9700000000000006</v>
      </c>
      <c r="E1506" s="293">
        <v>2.02</v>
      </c>
      <c r="F1506" s="288" t="s">
        <v>2404</v>
      </c>
    </row>
    <row r="1507" spans="1:6">
      <c r="A1507" s="287"/>
      <c r="B1507" s="288" t="s">
        <v>767</v>
      </c>
      <c r="C1507" s="292" t="s">
        <v>2708</v>
      </c>
      <c r="D1507" s="293">
        <v>10.95</v>
      </c>
      <c r="E1507" s="293">
        <v>2</v>
      </c>
      <c r="F1507" s="293" t="s">
        <v>2435</v>
      </c>
    </row>
    <row r="1508" spans="1:6">
      <c r="B1508" s="288" t="s">
        <v>768</v>
      </c>
      <c r="C1508" s="292" t="s">
        <v>2709</v>
      </c>
      <c r="D1508" s="293">
        <v>10.98</v>
      </c>
      <c r="E1508" s="293">
        <v>2.0099999999999998</v>
      </c>
      <c r="F1508" s="293" t="s">
        <v>2435</v>
      </c>
    </row>
    <row r="1509" spans="1:6">
      <c r="B1509" s="288" t="s">
        <v>768</v>
      </c>
      <c r="C1509" s="292" t="s">
        <v>2710</v>
      </c>
      <c r="D1509" s="288" t="s">
        <v>2121</v>
      </c>
      <c r="E1509" s="293">
        <v>1.8</v>
      </c>
      <c r="F1509" s="293" t="s">
        <v>2435</v>
      </c>
    </row>
    <row r="1510" spans="1:6">
      <c r="B1510" s="288" t="s">
        <v>768</v>
      </c>
      <c r="C1510" s="292" t="s">
        <v>2711</v>
      </c>
      <c r="D1510" s="288" t="s">
        <v>1341</v>
      </c>
      <c r="E1510" s="288" t="s">
        <v>327</v>
      </c>
      <c r="F1510" s="293" t="s">
        <v>347</v>
      </c>
    </row>
    <row r="1511" spans="1:6">
      <c r="B1511" s="288" t="s">
        <v>768</v>
      </c>
      <c r="C1511" s="292" t="s">
        <v>2712</v>
      </c>
      <c r="D1511" s="293">
        <v>8.94</v>
      </c>
      <c r="E1511" s="293">
        <v>1.75</v>
      </c>
      <c r="F1511" s="293" t="s">
        <v>349</v>
      </c>
    </row>
    <row r="1512" spans="1:6">
      <c r="B1512" s="288"/>
      <c r="D1512" s="293"/>
      <c r="E1512" s="288"/>
      <c r="F1512" s="293"/>
    </row>
    <row r="1513" spans="1:6">
      <c r="B1513" s="288"/>
      <c r="D1513" s="293"/>
      <c r="E1513" s="293"/>
      <c r="F1513" s="293"/>
    </row>
    <row r="1514" spans="1:6">
      <c r="B1514" s="288"/>
      <c r="D1514" s="293"/>
      <c r="E1514" s="293"/>
      <c r="F1514" s="293"/>
    </row>
    <row r="1515" spans="1:6">
      <c r="B1515" s="288"/>
      <c r="D1515" s="293"/>
      <c r="E1515" s="293"/>
      <c r="F1515" s="293"/>
    </row>
    <row r="1520" spans="1:6">
      <c r="B1520" s="292" t="s">
        <v>3704</v>
      </c>
      <c r="C1520" s="281">
        <f>Application!B25</f>
        <v>0</v>
      </c>
    </row>
  </sheetData>
  <sheetProtection password="C620" sheet="1"/>
  <mergeCells count="1">
    <mergeCell ref="D1:F2"/>
  </mergeCells>
  <phoneticPr fontId="19"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S4"/>
  <sheetViews>
    <sheetView topLeftCell="GT1" workbookViewId="0">
      <selection activeCell="GS1" sqref="A1:GS65536"/>
    </sheetView>
  </sheetViews>
  <sheetFormatPr defaultRowHeight="12.75"/>
  <cols>
    <col min="1" max="4" width="9.140625" style="23" hidden="1" customWidth="1"/>
    <col min="5" max="5" width="14" style="23" hidden="1" customWidth="1"/>
    <col min="6" max="6" width="17.7109375" style="23" hidden="1" customWidth="1"/>
    <col min="7" max="8" width="9.140625" style="23" hidden="1" customWidth="1"/>
    <col min="9" max="9" width="13.28515625" style="23" hidden="1" customWidth="1"/>
    <col min="10" max="12" width="9.140625" style="23" hidden="1" customWidth="1"/>
    <col min="13" max="13" width="9.140625" style="39" hidden="1" customWidth="1"/>
    <col min="14" max="15" width="9.140625" style="23" hidden="1" customWidth="1"/>
    <col min="16" max="16" width="9.140625" style="39" hidden="1" customWidth="1"/>
    <col min="17" max="168" width="9.140625" style="23" hidden="1" customWidth="1"/>
    <col min="169" max="169" width="19.140625" style="23" hidden="1" customWidth="1"/>
    <col min="170" max="170" width="9.140625" style="23" hidden="1" customWidth="1"/>
    <col min="171" max="171" width="16.28515625" style="23" hidden="1" customWidth="1"/>
    <col min="172" max="172" width="11.42578125" style="23" hidden="1" customWidth="1"/>
    <col min="173" max="174" width="9.140625" style="23" hidden="1" customWidth="1"/>
    <col min="175" max="175" width="11.140625" style="39" hidden="1" customWidth="1"/>
    <col min="176" max="176" width="14" style="39" hidden="1" customWidth="1"/>
    <col min="177" max="178" width="11.28515625" style="39" hidden="1" customWidth="1"/>
    <col min="179" max="179" width="12.7109375" style="39" hidden="1" customWidth="1"/>
    <col min="180" max="181" width="4.85546875" style="39" hidden="1" customWidth="1"/>
    <col min="182" max="182" width="11.5703125" style="39" hidden="1" customWidth="1"/>
    <col min="183" max="185" width="14.140625" style="39" hidden="1" customWidth="1"/>
    <col min="186" max="186" width="7.85546875" style="40" hidden="1" customWidth="1"/>
    <col min="187" max="191" width="8.28515625" style="40" hidden="1" customWidth="1"/>
    <col min="192" max="193" width="9.140625" style="23" hidden="1" customWidth="1"/>
    <col min="194" max="195" width="10.140625" style="23" hidden="1" customWidth="1"/>
    <col min="196" max="197" width="10.140625" style="46" hidden="1" customWidth="1"/>
    <col min="198" max="198" width="10.140625" style="23" hidden="1" customWidth="1"/>
    <col min="199" max="201" width="9.140625" style="23" hidden="1" customWidth="1"/>
    <col min="202" max="16384" width="9.140625" style="23"/>
  </cols>
  <sheetData>
    <row r="1" spans="1:200">
      <c r="A1" s="23" t="s">
        <v>1059</v>
      </c>
      <c r="B1" s="23" t="s">
        <v>1060</v>
      </c>
      <c r="C1" s="23" t="s">
        <v>1061</v>
      </c>
      <c r="D1" s="23" t="s">
        <v>1062</v>
      </c>
      <c r="E1" s="23" t="s">
        <v>1063</v>
      </c>
      <c r="F1" s="23" t="s">
        <v>1064</v>
      </c>
      <c r="G1" s="23" t="s">
        <v>1065</v>
      </c>
      <c r="H1" s="23" t="s">
        <v>1066</v>
      </c>
      <c r="I1" s="23" t="s">
        <v>1067</v>
      </c>
      <c r="J1" s="23" t="s">
        <v>1068</v>
      </c>
      <c r="K1" s="23" t="s">
        <v>1069</v>
      </c>
      <c r="L1" s="23" t="s">
        <v>1070</v>
      </c>
      <c r="M1" s="39" t="s">
        <v>1071</v>
      </c>
      <c r="N1" s="23" t="s">
        <v>1072</v>
      </c>
      <c r="O1" s="23" t="s">
        <v>1073</v>
      </c>
      <c r="P1" s="39" t="s">
        <v>1074</v>
      </c>
      <c r="Q1" s="23" t="s">
        <v>1075</v>
      </c>
      <c r="R1" s="23" t="s">
        <v>1076</v>
      </c>
      <c r="S1" s="23" t="s">
        <v>1077</v>
      </c>
      <c r="T1" s="23" t="s">
        <v>1078</v>
      </c>
      <c r="U1" s="23" t="s">
        <v>1079</v>
      </c>
      <c r="V1" s="23" t="s">
        <v>1080</v>
      </c>
      <c r="W1" s="23" t="s">
        <v>1081</v>
      </c>
      <c r="X1" s="23" t="s">
        <v>1082</v>
      </c>
      <c r="Y1" s="23" t="s">
        <v>1083</v>
      </c>
      <c r="Z1" s="23" t="s">
        <v>1084</v>
      </c>
      <c r="AA1" s="23" t="s">
        <v>1085</v>
      </c>
      <c r="AB1" s="23" t="s">
        <v>1086</v>
      </c>
      <c r="AC1" s="23" t="s">
        <v>1087</v>
      </c>
      <c r="AD1" s="23" t="s">
        <v>1088</v>
      </c>
      <c r="AE1" s="23" t="s">
        <v>1089</v>
      </c>
      <c r="AF1" s="23" t="s">
        <v>1090</v>
      </c>
      <c r="AG1" s="23" t="s">
        <v>1091</v>
      </c>
      <c r="AH1" s="23" t="s">
        <v>1092</v>
      </c>
      <c r="AI1" s="23" t="s">
        <v>1093</v>
      </c>
      <c r="AJ1" s="23" t="s">
        <v>1094</v>
      </c>
      <c r="AK1" s="23" t="s">
        <v>1095</v>
      </c>
      <c r="AL1" s="23" t="s">
        <v>397</v>
      </c>
      <c r="AM1" s="23" t="s">
        <v>1096</v>
      </c>
      <c r="AN1" s="23" t="s">
        <v>1097</v>
      </c>
      <c r="AO1" s="23" t="s">
        <v>1098</v>
      </c>
      <c r="AP1" s="23" t="s">
        <v>1099</v>
      </c>
      <c r="AQ1" s="23" t="s">
        <v>1100</v>
      </c>
      <c r="AR1" s="23" t="s">
        <v>1101</v>
      </c>
      <c r="AS1" s="23" t="s">
        <v>1102</v>
      </c>
      <c r="AT1" s="23" t="s">
        <v>1103</v>
      </c>
      <c r="AU1" s="23" t="s">
        <v>1104</v>
      </c>
      <c r="AV1" s="23" t="s">
        <v>1105</v>
      </c>
      <c r="AW1" s="23" t="s">
        <v>1106</v>
      </c>
      <c r="AX1" s="23" t="s">
        <v>1107</v>
      </c>
      <c r="AY1" s="23" t="s">
        <v>1108</v>
      </c>
      <c r="AZ1" s="23" t="s">
        <v>389</v>
      </c>
      <c r="BA1" s="23" t="s">
        <v>391</v>
      </c>
      <c r="BB1" s="23" t="s">
        <v>394</v>
      </c>
      <c r="BC1" s="23" t="s">
        <v>1109</v>
      </c>
      <c r="BD1" s="23" t="s">
        <v>1110</v>
      </c>
      <c r="BE1" s="23" t="s">
        <v>2261</v>
      </c>
      <c r="BF1" s="23" t="s">
        <v>2262</v>
      </c>
      <c r="BG1" s="23" t="s">
        <v>2263</v>
      </c>
      <c r="BH1" s="23" t="s">
        <v>2264</v>
      </c>
      <c r="BI1" s="23" t="s">
        <v>2265</v>
      </c>
      <c r="BJ1" s="23" t="s">
        <v>390</v>
      </c>
      <c r="BK1" s="23" t="s">
        <v>392</v>
      </c>
      <c r="BL1" s="23" t="s">
        <v>2266</v>
      </c>
      <c r="BM1" s="23" t="s">
        <v>2267</v>
      </c>
      <c r="BN1" s="23" t="s">
        <v>2268</v>
      </c>
      <c r="BO1" s="23" t="s">
        <v>2269</v>
      </c>
      <c r="BP1" s="23" t="s">
        <v>2270</v>
      </c>
      <c r="BQ1" s="23" t="s">
        <v>2271</v>
      </c>
      <c r="BR1" s="23" t="s">
        <v>2272</v>
      </c>
      <c r="BS1" s="23" t="s">
        <v>2273</v>
      </c>
      <c r="BT1" s="23" t="s">
        <v>2274</v>
      </c>
      <c r="BU1" s="23" t="s">
        <v>2275</v>
      </c>
      <c r="BV1" s="23" t="s">
        <v>2276</v>
      </c>
      <c r="BW1" s="23" t="s">
        <v>2277</v>
      </c>
      <c r="BX1" s="23" t="s">
        <v>2278</v>
      </c>
      <c r="BY1" s="23" t="s">
        <v>2279</v>
      </c>
      <c r="BZ1" s="23" t="s">
        <v>2280</v>
      </c>
      <c r="CA1" s="23" t="s">
        <v>2281</v>
      </c>
      <c r="CB1" s="23" t="s">
        <v>2282</v>
      </c>
      <c r="CC1" s="23" t="s">
        <v>2283</v>
      </c>
      <c r="CD1" s="23" t="s">
        <v>2284</v>
      </c>
      <c r="CE1" s="23" t="s">
        <v>2285</v>
      </c>
      <c r="CF1" s="23" t="s">
        <v>2286</v>
      </c>
      <c r="CG1" s="23" t="s">
        <v>2287</v>
      </c>
      <c r="CH1" s="23" t="s">
        <v>2288</v>
      </c>
      <c r="CI1" s="23" t="s">
        <v>2289</v>
      </c>
      <c r="CJ1" s="23" t="s">
        <v>2290</v>
      </c>
      <c r="CK1" s="23" t="s">
        <v>2291</v>
      </c>
      <c r="CL1" s="23" t="s">
        <v>2292</v>
      </c>
      <c r="CM1" s="23" t="s">
        <v>2293</v>
      </c>
      <c r="CN1" s="23" t="s">
        <v>2294</v>
      </c>
      <c r="CO1" s="23" t="s">
        <v>2295</v>
      </c>
      <c r="CP1" s="23" t="s">
        <v>2296</v>
      </c>
      <c r="CQ1" s="23" t="s">
        <v>2297</v>
      </c>
      <c r="CR1" s="23" t="s">
        <v>2298</v>
      </c>
      <c r="CS1" s="23" t="s">
        <v>2299</v>
      </c>
      <c r="CT1" s="23" t="s">
        <v>2300</v>
      </c>
      <c r="CU1" s="23" t="s">
        <v>2301</v>
      </c>
      <c r="CV1" s="23" t="s">
        <v>2302</v>
      </c>
      <c r="CW1" s="23" t="s">
        <v>2303</v>
      </c>
      <c r="CX1" s="23" t="s">
        <v>2304</v>
      </c>
      <c r="CY1" s="23" t="s">
        <v>2305</v>
      </c>
      <c r="CZ1" s="23" t="s">
        <v>2306</v>
      </c>
      <c r="DA1" s="23" t="s">
        <v>2307</v>
      </c>
      <c r="DB1" s="23" t="s">
        <v>2308</v>
      </c>
      <c r="DC1" s="23" t="s">
        <v>2309</v>
      </c>
      <c r="DD1" s="23" t="s">
        <v>2310</v>
      </c>
      <c r="DE1" s="23" t="s">
        <v>2313</v>
      </c>
      <c r="DF1" s="23" t="s">
        <v>2314</v>
      </c>
      <c r="DG1" s="23" t="s">
        <v>1565</v>
      </c>
      <c r="DH1" s="23" t="s">
        <v>832</v>
      </c>
      <c r="DI1" s="23" t="s">
        <v>833</v>
      </c>
      <c r="DJ1" s="23" t="s">
        <v>834</v>
      </c>
      <c r="DK1" s="23" t="s">
        <v>835</v>
      </c>
      <c r="DL1" s="23" t="s">
        <v>836</v>
      </c>
      <c r="DM1" s="23" t="s">
        <v>837</v>
      </c>
      <c r="DN1" s="23" t="s">
        <v>838</v>
      </c>
      <c r="DO1" s="23" t="s">
        <v>839</v>
      </c>
      <c r="DP1" s="23" t="s">
        <v>840</v>
      </c>
      <c r="DQ1" s="23" t="s">
        <v>841</v>
      </c>
      <c r="DR1" s="23" t="s">
        <v>842</v>
      </c>
      <c r="DS1" s="23" t="s">
        <v>843</v>
      </c>
      <c r="DT1" s="23" t="s">
        <v>844</v>
      </c>
      <c r="DU1" s="23" t="s">
        <v>845</v>
      </c>
      <c r="DV1" s="23" t="s">
        <v>846</v>
      </c>
      <c r="DW1" s="23" t="s">
        <v>847</v>
      </c>
      <c r="DX1" s="23" t="s">
        <v>848</v>
      </c>
      <c r="DY1" s="23" t="s">
        <v>849</v>
      </c>
      <c r="DZ1" s="23" t="s">
        <v>850</v>
      </c>
      <c r="EA1" s="23" t="s">
        <v>851</v>
      </c>
      <c r="EB1" s="23" t="s">
        <v>852</v>
      </c>
      <c r="EC1" s="23" t="s">
        <v>853</v>
      </c>
      <c r="ED1" s="23" t="s">
        <v>854</v>
      </c>
      <c r="EE1" s="23" t="s">
        <v>855</v>
      </c>
      <c r="EF1" s="23" t="s">
        <v>856</v>
      </c>
      <c r="EG1" s="23" t="s">
        <v>857</v>
      </c>
      <c r="EH1" s="23" t="s">
        <v>858</v>
      </c>
      <c r="EI1" s="23" t="s">
        <v>3800</v>
      </c>
      <c r="EJ1" s="23" t="s">
        <v>3801</v>
      </c>
      <c r="EK1" s="23" t="s">
        <v>3802</v>
      </c>
      <c r="EL1" s="23" t="s">
        <v>3803</v>
      </c>
      <c r="EM1" s="23" t="s">
        <v>3804</v>
      </c>
      <c r="EN1" s="23" t="s">
        <v>3805</v>
      </c>
      <c r="EO1" s="23" t="s">
        <v>3806</v>
      </c>
      <c r="EP1" s="23" t="s">
        <v>3807</v>
      </c>
      <c r="EQ1" s="23" t="s">
        <v>3808</v>
      </c>
      <c r="ER1" s="23" t="s">
        <v>3809</v>
      </c>
      <c r="ES1" s="23" t="s">
        <v>3810</v>
      </c>
      <c r="ET1" s="23" t="s">
        <v>3811</v>
      </c>
      <c r="EU1" s="23" t="s">
        <v>3560</v>
      </c>
      <c r="EV1" s="23" t="s">
        <v>3812</v>
      </c>
      <c r="EW1" s="23" t="s">
        <v>903</v>
      </c>
      <c r="EX1" s="23" t="s">
        <v>3813</v>
      </c>
      <c r="EY1" s="23" t="s">
        <v>3817</v>
      </c>
      <c r="EZ1" s="23" t="s">
        <v>3818</v>
      </c>
      <c r="FA1" s="23" t="s">
        <v>3819</v>
      </c>
      <c r="FB1" s="23" t="s">
        <v>3820</v>
      </c>
      <c r="FC1" s="23" t="s">
        <v>3712</v>
      </c>
      <c r="FD1" s="23" t="s">
        <v>1570</v>
      </c>
      <c r="FE1" s="23" t="s">
        <v>903</v>
      </c>
      <c r="FF1" s="23" t="s">
        <v>3713</v>
      </c>
      <c r="FG1" s="23" t="s">
        <v>3714</v>
      </c>
      <c r="FH1" s="23" t="s">
        <v>3715</v>
      </c>
      <c r="FI1" s="23" t="s">
        <v>3716</v>
      </c>
      <c r="FJ1" s="23" t="s">
        <v>3717</v>
      </c>
      <c r="FK1" s="23" t="s">
        <v>3891</v>
      </c>
      <c r="FL1" s="23" t="s">
        <v>3718</v>
      </c>
      <c r="FM1" s="23" t="s">
        <v>3893</v>
      </c>
      <c r="FN1" s="23" t="s">
        <v>3719</v>
      </c>
      <c r="FO1" s="23" t="s">
        <v>3930</v>
      </c>
      <c r="FP1" s="23" t="s">
        <v>3932</v>
      </c>
      <c r="FQ1" s="23" t="s">
        <v>3720</v>
      </c>
      <c r="FR1" s="23" t="s">
        <v>3721</v>
      </c>
      <c r="FS1" s="39" t="s">
        <v>1590</v>
      </c>
      <c r="FT1" s="39" t="s">
        <v>1593</v>
      </c>
      <c r="FU1" s="39" t="s">
        <v>1594</v>
      </c>
      <c r="FV1" s="39" t="s">
        <v>1596</v>
      </c>
      <c r="FW1" s="39" t="s">
        <v>186</v>
      </c>
      <c r="FX1" s="22" t="s">
        <v>188</v>
      </c>
      <c r="FY1" s="22" t="s">
        <v>2555</v>
      </c>
      <c r="FZ1" s="22" t="s">
        <v>3281</v>
      </c>
      <c r="GA1" s="22" t="s">
        <v>3282</v>
      </c>
      <c r="GB1" s="22" t="s">
        <v>2333</v>
      </c>
      <c r="GC1" s="22" t="s">
        <v>195</v>
      </c>
      <c r="GD1" s="50" t="s">
        <v>3101</v>
      </c>
      <c r="GE1" s="50" t="s">
        <v>3102</v>
      </c>
      <c r="GF1" s="22" t="s">
        <v>3929</v>
      </c>
      <c r="GG1" s="22" t="s">
        <v>3928</v>
      </c>
      <c r="GH1" s="22" t="s">
        <v>2311</v>
      </c>
      <c r="GI1" s="22" t="s">
        <v>3560</v>
      </c>
      <c r="GJ1" s="23" t="s">
        <v>3401</v>
      </c>
      <c r="GK1" s="23" t="s">
        <v>3181</v>
      </c>
      <c r="GL1" s="23" t="s">
        <v>3886</v>
      </c>
      <c r="GM1" s="23" t="s">
        <v>3888</v>
      </c>
      <c r="GN1" s="46" t="s">
        <v>4452</v>
      </c>
      <c r="GO1" s="46" t="s">
        <v>4453</v>
      </c>
      <c r="GP1" s="469" t="s">
        <v>4789</v>
      </c>
      <c r="GQ1" s="51" t="s">
        <v>3722</v>
      </c>
      <c r="GR1" s="51" t="s">
        <v>3723</v>
      </c>
    </row>
    <row r="2" spans="1:200">
      <c r="A2" s="42">
        <f>Inputs!K3</f>
        <v>0</v>
      </c>
      <c r="B2" s="42">
        <f>Inputs!M3</f>
        <v>0</v>
      </c>
      <c r="C2" s="42">
        <f>Inputs!N3</f>
        <v>0</v>
      </c>
      <c r="D2" s="42">
        <f>Inputs!O3</f>
        <v>0</v>
      </c>
      <c r="E2" s="23">
        <f>Inputs!R3</f>
        <v>0</v>
      </c>
      <c r="F2" s="42">
        <f>Inputs!P3</f>
        <v>0</v>
      </c>
      <c r="G2" s="42">
        <f>Inputs!S3</f>
        <v>0</v>
      </c>
      <c r="I2" s="23">
        <f>Inputs!CW2</f>
        <v>0</v>
      </c>
      <c r="J2" s="23">
        <f>Inputs!DK2</f>
        <v>0</v>
      </c>
      <c r="K2" s="23">
        <f>Inputs!DG2</f>
        <v>0</v>
      </c>
      <c r="L2" s="42">
        <f>Inputs!C3</f>
        <v>0</v>
      </c>
      <c r="M2" s="39" t="str">
        <f>Inputs!B3</f>
        <v/>
      </c>
      <c r="N2" s="41">
        <f>Inputs!CD3</f>
        <v>0</v>
      </c>
      <c r="O2" s="42">
        <f>Inputs!I3</f>
        <v>0</v>
      </c>
      <c r="P2" s="39" t="str">
        <f>Inputs!D3</f>
        <v/>
      </c>
      <c r="Q2" s="42">
        <f>Inputs!G3</f>
        <v>0</v>
      </c>
      <c r="R2" s="23">
        <f>Inputs!DJ2</f>
        <v>0</v>
      </c>
      <c r="S2" s="23">
        <f>Inputs!CP3</f>
        <v>1</v>
      </c>
      <c r="T2" s="23">
        <f>Inputs!DF2</f>
        <v>0</v>
      </c>
      <c r="U2" s="23">
        <f>Inputs!BD3</f>
        <v>0</v>
      </c>
      <c r="V2" s="23">
        <f>Inputs!AV3</f>
        <v>99</v>
      </c>
      <c r="W2" s="23">
        <f>Inputs!BE3</f>
        <v>0</v>
      </c>
      <c r="X2" s="23">
        <f>Inputs!CR3</f>
        <v>0</v>
      </c>
      <c r="Y2" s="23">
        <f>Inputs!AI3</f>
        <v>0</v>
      </c>
      <c r="Z2" s="23">
        <f>Inputs!AO3</f>
        <v>0</v>
      </c>
      <c r="AA2" s="23">
        <f>Inputs!AR3</f>
        <v>0</v>
      </c>
      <c r="AB2" s="23">
        <f>Inputs!AP3</f>
        <v>0</v>
      </c>
      <c r="AE2" s="23">
        <f>Inputs!DL2</f>
        <v>0</v>
      </c>
      <c r="AG2" s="23">
        <f>Inputs!DA2</f>
        <v>0</v>
      </c>
      <c r="AH2" s="23">
        <f>Inputs!DA2</f>
        <v>0</v>
      </c>
      <c r="AK2" s="23">
        <f>Inputs!DI2</f>
        <v>0</v>
      </c>
      <c r="AL2" s="23">
        <f>Inputs!BI3</f>
        <v>0</v>
      </c>
      <c r="AM2" s="23">
        <f>Inputs!H3</f>
        <v>0</v>
      </c>
      <c r="AN2" s="23">
        <f>Inputs!BA3</f>
        <v>0</v>
      </c>
      <c r="AO2" s="23">
        <f>Inputs!BB3</f>
        <v>0</v>
      </c>
      <c r="AP2" s="23">
        <f>Inputs!BZ3</f>
        <v>0</v>
      </c>
      <c r="AQ2" s="23">
        <f>Inputs!CA3</f>
        <v>0</v>
      </c>
      <c r="AR2" s="23">
        <f>Inputs!CB3</f>
        <v>0</v>
      </c>
      <c r="AS2" s="23">
        <f>Inputs!CC3</f>
        <v>0</v>
      </c>
      <c r="AT2" s="23">
        <f>Inputs!DE2</f>
        <v>0</v>
      </c>
      <c r="AU2" s="23">
        <f>Inputs!AY3</f>
        <v>0</v>
      </c>
      <c r="AV2" s="23">
        <f>Inputs!AZ3</f>
        <v>0</v>
      </c>
      <c r="AW2" s="23">
        <f>Inputs!AT3</f>
        <v>0</v>
      </c>
      <c r="AX2" s="23">
        <f>Inputs!AU3</f>
        <v>0</v>
      </c>
      <c r="AY2" s="23">
        <f>Inputs!AS3</f>
        <v>0</v>
      </c>
      <c r="AZ2" s="23">
        <f>Inputs!BF3</f>
        <v>0</v>
      </c>
      <c r="BA2" s="23">
        <f>Inputs!BG3</f>
        <v>0</v>
      </c>
      <c r="BB2" s="23">
        <f>Inputs!BH3</f>
        <v>0</v>
      </c>
      <c r="BC2" s="23">
        <f>Inputs!BP3</f>
        <v>0</v>
      </c>
      <c r="BD2" s="23">
        <f>Inputs!BQ3</f>
        <v>0</v>
      </c>
      <c r="BE2" s="23">
        <f>Inputs!BM3</f>
        <v>-1</v>
      </c>
      <c r="BF2" s="23">
        <f>IF(AND(Inputs!BN10=0,Inputs!BV3=0,Inputs!BW3=0,Inputs!BX3=0,Inputs!BY3=0,Inputs!BZ3=0,Inputs!CA3=0,Inputs!CB3=0,Inputs!CC3=0,Inputs!CD3=0),0,1)</f>
        <v>0</v>
      </c>
      <c r="BG2" s="23">
        <f>Inputs!BV3</f>
        <v>0</v>
      </c>
      <c r="BH2" s="23">
        <f>Inputs!BX3</f>
        <v>0</v>
      </c>
      <c r="BI2" s="23">
        <f>Inputs!BJ3</f>
        <v>0</v>
      </c>
      <c r="BJ2" s="23">
        <f>Inputs!BK3</f>
        <v>0</v>
      </c>
      <c r="BK2" s="23">
        <f>Inputs!BL3</f>
        <v>0</v>
      </c>
      <c r="BM2" s="23">
        <f>Inputs!CE3</f>
        <v>0</v>
      </c>
      <c r="BN2" s="23">
        <f>Inputs!CF3</f>
        <v>0</v>
      </c>
      <c r="BO2" s="23">
        <f>Inputs!CS3</f>
        <v>0</v>
      </c>
      <c r="BP2" s="23">
        <f>Inputs!CT3</f>
        <v>99</v>
      </c>
      <c r="BQ2" s="23">
        <f>Inputs!CG3</f>
        <v>0</v>
      </c>
      <c r="BR2" s="23">
        <f>Inputs!CH3</f>
        <v>0</v>
      </c>
      <c r="BS2" s="23">
        <f>Inputs!CJ3</f>
        <v>0</v>
      </c>
      <c r="BT2" s="23">
        <f>Inputs!CI3</f>
        <v>0</v>
      </c>
      <c r="BU2" s="23">
        <f>Inputs!AH3</f>
        <v>0</v>
      </c>
      <c r="BX2" s="23">
        <f>Inputs!CQ3</f>
        <v>0</v>
      </c>
      <c r="BY2" s="23">
        <f>Inputs!W3</f>
        <v>0</v>
      </c>
      <c r="BZ2" s="23">
        <f>Inputs!CK3</f>
        <v>0</v>
      </c>
      <c r="CA2" s="23">
        <f>Inputs!DD2</f>
        <v>0</v>
      </c>
      <c r="CB2" s="23">
        <f>Inputs!DB2</f>
        <v>0</v>
      </c>
      <c r="CD2" s="23">
        <f>Inputs!DM2</f>
        <v>0</v>
      </c>
      <c r="CE2" s="23">
        <f>Inputs!AJ3</f>
        <v>0</v>
      </c>
      <c r="CF2" s="23">
        <f>Inputs!AM3</f>
        <v>0</v>
      </c>
      <c r="CG2" s="23">
        <f>Inputs!BW3</f>
        <v>0</v>
      </c>
      <c r="CH2" s="23">
        <f>Inputs!BY3</f>
        <v>0</v>
      </c>
      <c r="CI2" s="23" t="str">
        <f>Inputs!DN2</f>
        <v>N</v>
      </c>
      <c r="CJ2" s="23">
        <f>Inputs!DO2</f>
        <v>0</v>
      </c>
      <c r="CK2" s="23">
        <f>Inputs!DP2</f>
        <v>0</v>
      </c>
      <c r="CL2" s="23">
        <f>Inputs!DQ2</f>
        <v>1</v>
      </c>
      <c r="CM2" s="23">
        <f>Inputs!DR2</f>
        <v>0</v>
      </c>
      <c r="CN2" s="23">
        <f>Inputs!DS2</f>
        <v>0</v>
      </c>
      <c r="CO2" s="23">
        <f>Inputs!DT2</f>
        <v>0</v>
      </c>
      <c r="CP2" s="23">
        <f>Inputs!DU2</f>
        <v>0</v>
      </c>
      <c r="CR2" s="23">
        <f>Inputs!V3</f>
        <v>0</v>
      </c>
      <c r="CS2" s="23">
        <f>Inputs!CV2</f>
        <v>0</v>
      </c>
      <c r="CT2" s="23">
        <f>Inputs!BT3</f>
        <v>0</v>
      </c>
      <c r="CU2" s="23">
        <f>Inputs!BS3</f>
        <v>0</v>
      </c>
      <c r="CV2" s="23">
        <f>Inputs!CL3</f>
        <v>0</v>
      </c>
      <c r="CW2" s="23">
        <f>Inputs!CN3</f>
        <v>0</v>
      </c>
      <c r="CX2" s="23">
        <f>Inputs!CM3</f>
        <v>99</v>
      </c>
      <c r="CY2" s="23">
        <f>Inputs!BU3</f>
        <v>0</v>
      </c>
      <c r="DA2" s="23">
        <f>Inputs!AQ3</f>
        <v>0</v>
      </c>
      <c r="DB2" s="23">
        <f>Inputs!AW3</f>
        <v>0</v>
      </c>
      <c r="DC2" s="23">
        <f>Inputs!AX3</f>
        <v>0</v>
      </c>
      <c r="DD2" s="23">
        <f>Inputs!AK3</f>
        <v>0</v>
      </c>
      <c r="DE2" s="23">
        <f>Inputs!AL3</f>
        <v>0</v>
      </c>
      <c r="DF2" s="23">
        <f>Inputs!AN3</f>
        <v>0</v>
      </c>
      <c r="DG2" s="23">
        <f>Inputs!DH2</f>
        <v>0</v>
      </c>
      <c r="DH2" s="23">
        <f>Inputs!CO3</f>
        <v>0</v>
      </c>
      <c r="DI2" s="23">
        <f>Inputs!BN10</f>
        <v>0</v>
      </c>
      <c r="DK2" s="23">
        <f>Inputs!BR3</f>
        <v>0</v>
      </c>
      <c r="DN2" s="23">
        <f>Inputs!BO3</f>
        <v>0</v>
      </c>
      <c r="DQ2" s="23">
        <f>Inputs!BC3</f>
        <v>0</v>
      </c>
      <c r="DR2" s="23">
        <f>Inputs!DC2</f>
        <v>0</v>
      </c>
      <c r="ET2" s="23" t="str">
        <f ca="1">Inputs!Q3</f>
        <v>United States</v>
      </c>
      <c r="EU2" s="42">
        <f>Inputs!T3</f>
        <v>0</v>
      </c>
      <c r="EV2" s="42">
        <f>Inputs!U3</f>
        <v>0</v>
      </c>
      <c r="EW2" s="42">
        <f>Inputs!J3</f>
        <v>0</v>
      </c>
      <c r="EZ2" s="23">
        <f>Inputs!DA2</f>
        <v>0</v>
      </c>
      <c r="FA2" s="23">
        <f>Inputs!CX2</f>
        <v>0</v>
      </c>
      <c r="FB2" s="23">
        <f>Inputs!CY2</f>
        <v>0</v>
      </c>
      <c r="FC2" s="23" t="str">
        <f>Inputs!CZ2</f>
        <v>Yes</v>
      </c>
      <c r="FD2" s="42">
        <f>Inputs!F3</f>
        <v>0</v>
      </c>
      <c r="FE2" s="42">
        <f>Inputs!J3</f>
        <v>0</v>
      </c>
      <c r="FF2" s="42">
        <f>Inputs!L3</f>
        <v>0</v>
      </c>
      <c r="FG2" s="23">
        <f>Inputs!X3</f>
        <v>1</v>
      </c>
      <c r="FH2" s="23">
        <f>Inputs!Y3</f>
        <v>0</v>
      </c>
      <c r="FI2" s="23">
        <f>Inputs!Z3</f>
        <v>0</v>
      </c>
      <c r="FJ2" s="23">
        <f>Inputs!AA3</f>
        <v>1</v>
      </c>
      <c r="FK2" s="23">
        <f>Inputs!AB3</f>
        <v>1</v>
      </c>
      <c r="FL2" s="23">
        <f>Inputs!AC3</f>
        <v>0</v>
      </c>
      <c r="FM2" s="23">
        <f>Inputs!AD3</f>
        <v>0</v>
      </c>
      <c r="FN2" s="23">
        <f>Inputs!AE3</f>
        <v>0</v>
      </c>
      <c r="FO2" s="23">
        <f>Inputs!AF3</f>
        <v>0</v>
      </c>
      <c r="FP2" s="23">
        <f>Inputs!AG3</f>
        <v>0</v>
      </c>
      <c r="FQ2" s="39">
        <f>Inputs!CU2</f>
        <v>30</v>
      </c>
      <c r="FR2" s="42">
        <f>Inputs!E3</f>
        <v>0</v>
      </c>
      <c r="FS2" s="40">
        <f>Inputs!DV2</f>
        <v>1</v>
      </c>
      <c r="FT2" s="40">
        <f>Inputs!DW2</f>
        <v>0</v>
      </c>
      <c r="FU2" s="40">
        <f>Inputs!DX2</f>
        <v>0</v>
      </c>
      <c r="FV2" s="40">
        <f>Inputs!DY2</f>
        <v>0</v>
      </c>
      <c r="FW2" s="40">
        <f>Inputs!DZ2</f>
        <v>0</v>
      </c>
      <c r="FX2" s="41">
        <f>Inputs!EA2</f>
        <v>0</v>
      </c>
      <c r="FY2" s="41">
        <f>Inputs!EA2</f>
        <v>0</v>
      </c>
      <c r="FZ2" s="40">
        <f>Inputs!EC2</f>
        <v>0</v>
      </c>
      <c r="GA2" s="40">
        <f>Inputs!ED2</f>
        <v>2018</v>
      </c>
      <c r="GB2" s="40">
        <f>Inputs!EE2</f>
        <v>0</v>
      </c>
      <c r="GC2" s="41">
        <f>Inputs!EF2</f>
        <v>0</v>
      </c>
      <c r="GD2" s="40">
        <f>Inputs!EG2</f>
        <v>0</v>
      </c>
      <c r="GE2" s="40">
        <f>Inputs!EH2</f>
        <v>0</v>
      </c>
      <c r="GF2" s="40">
        <f>Inputs!EI2</f>
        <v>0</v>
      </c>
      <c r="GG2" s="40">
        <f>Inputs!EJ2</f>
        <v>0</v>
      </c>
      <c r="GH2" s="40">
        <f>Inputs!EK2</f>
        <v>0</v>
      </c>
      <c r="GI2" s="40">
        <f>Inputs!T3</f>
        <v>0</v>
      </c>
      <c r="GJ2" s="52">
        <f>Inputs!EL2</f>
        <v>0</v>
      </c>
      <c r="GK2" s="302">
        <f>Inputs!EM2</f>
        <v>0</v>
      </c>
      <c r="GL2" s="383">
        <f>Inputs!EQ2</f>
        <v>0</v>
      </c>
      <c r="GM2" s="383">
        <f>Inputs!ER2</f>
        <v>0</v>
      </c>
      <c r="GN2" s="675">
        <f>Inputs!EN2</f>
        <v>0</v>
      </c>
      <c r="GO2" s="675">
        <f>Inputs!EO2</f>
        <v>0</v>
      </c>
      <c r="GP2" s="468">
        <f>Inputs!EP2</f>
        <v>3</v>
      </c>
      <c r="GQ2" s="53"/>
    </row>
    <row r="3" spans="1:200">
      <c r="D3" s="42"/>
      <c r="E3" s="42"/>
      <c r="H3" s="23" t="s">
        <v>3724</v>
      </c>
      <c r="I3" s="23">
        <f>Inputs!CW2</f>
        <v>0</v>
      </c>
      <c r="J3" s="23" t="s">
        <v>1354</v>
      </c>
      <c r="K3" s="23" t="s">
        <v>3724</v>
      </c>
      <c r="R3" s="23" t="s">
        <v>1354</v>
      </c>
      <c r="T3" s="23" t="s">
        <v>1354</v>
      </c>
      <c r="AC3" s="23" t="s">
        <v>3724</v>
      </c>
      <c r="AD3" s="23" t="s">
        <v>3724</v>
      </c>
      <c r="AE3" s="23" t="s">
        <v>1354</v>
      </c>
      <c r="AF3" s="23" t="s">
        <v>3724</v>
      </c>
      <c r="AG3" s="23" t="s">
        <v>3724</v>
      </c>
      <c r="AH3" s="23" t="s">
        <v>1355</v>
      </c>
      <c r="AI3" s="23" t="s">
        <v>1356</v>
      </c>
      <c r="AJ3" s="23" t="s">
        <v>1356</v>
      </c>
      <c r="AK3" s="23" t="s">
        <v>1354</v>
      </c>
      <c r="AT3" s="23" t="s">
        <v>1354</v>
      </c>
      <c r="BL3" s="23" t="s">
        <v>1357</v>
      </c>
      <c r="BV3" s="23" t="s">
        <v>1357</v>
      </c>
      <c r="BW3" s="23" t="s">
        <v>1358</v>
      </c>
      <c r="CA3" s="23" t="s">
        <v>1357</v>
      </c>
      <c r="CB3" s="23" t="s">
        <v>1354</v>
      </c>
      <c r="CC3" s="23" t="s">
        <v>1359</v>
      </c>
      <c r="CI3" s="23" t="s">
        <v>1354</v>
      </c>
      <c r="CJ3" s="23" t="s">
        <v>1354</v>
      </c>
      <c r="CK3" s="23" t="s">
        <v>1354</v>
      </c>
      <c r="CL3" s="23" t="s">
        <v>1354</v>
      </c>
      <c r="CM3" s="23" t="s">
        <v>1354</v>
      </c>
      <c r="CN3" s="23" t="s">
        <v>1354</v>
      </c>
      <c r="CO3" s="23" t="s">
        <v>1354</v>
      </c>
      <c r="CP3" s="23" t="s">
        <v>1354</v>
      </c>
      <c r="CQ3" s="23" t="s">
        <v>3724</v>
      </c>
      <c r="CS3" s="23" t="s">
        <v>1354</v>
      </c>
      <c r="CZ3" s="23" t="s">
        <v>1357</v>
      </c>
      <c r="DG3" s="23" t="s">
        <v>3724</v>
      </c>
      <c r="DJ3" s="23" t="s">
        <v>1357</v>
      </c>
      <c r="DL3" s="23" t="s">
        <v>3724</v>
      </c>
      <c r="DM3" s="23" t="s">
        <v>1354</v>
      </c>
      <c r="DO3" s="23" t="s">
        <v>3724</v>
      </c>
      <c r="DP3" s="23" t="s">
        <v>3724</v>
      </c>
      <c r="DR3" s="23" t="s">
        <v>1354</v>
      </c>
      <c r="DS3" s="23" t="s">
        <v>1354</v>
      </c>
      <c r="DT3" s="23" t="s">
        <v>1354</v>
      </c>
      <c r="DU3" s="23" t="s">
        <v>1354</v>
      </c>
      <c r="DV3" s="23" t="s">
        <v>1354</v>
      </c>
      <c r="DW3" s="23" t="s">
        <v>1354</v>
      </c>
      <c r="DX3" s="23" t="s">
        <v>1354</v>
      </c>
      <c r="DY3" s="23" t="s">
        <v>1354</v>
      </c>
      <c r="DZ3" s="23" t="s">
        <v>1354</v>
      </c>
      <c r="EA3" s="23" t="s">
        <v>1354</v>
      </c>
      <c r="EB3" s="23" t="s">
        <v>3724</v>
      </c>
      <c r="EC3" s="23" t="s">
        <v>3724</v>
      </c>
      <c r="ED3" s="23" t="s">
        <v>1354</v>
      </c>
      <c r="EE3" s="23" t="s">
        <v>1354</v>
      </c>
      <c r="EF3" s="23" t="s">
        <v>1354</v>
      </c>
      <c r="EG3" s="23" t="s">
        <v>1354</v>
      </c>
      <c r="EH3" s="23" t="s">
        <v>1354</v>
      </c>
      <c r="EI3" s="23" t="s">
        <v>1354</v>
      </c>
      <c r="EJ3" s="23" t="s">
        <v>1354</v>
      </c>
      <c r="EK3" s="23" t="s">
        <v>1354</v>
      </c>
      <c r="EL3" s="23" t="s">
        <v>1354</v>
      </c>
      <c r="EM3" s="23" t="s">
        <v>1354</v>
      </c>
      <c r="EN3" s="23" t="s">
        <v>1354</v>
      </c>
      <c r="EO3" s="23" t="s">
        <v>1354</v>
      </c>
      <c r="EP3" s="23" t="s">
        <v>1354</v>
      </c>
      <c r="EQ3" s="23" t="s">
        <v>1354</v>
      </c>
      <c r="ER3" s="23" t="s">
        <v>1357</v>
      </c>
      <c r="ES3" s="23" t="s">
        <v>1357</v>
      </c>
      <c r="EX3" s="23" t="s">
        <v>3724</v>
      </c>
      <c r="EY3" s="23" t="s">
        <v>3724</v>
      </c>
      <c r="EZ3" s="23" t="s">
        <v>3724</v>
      </c>
      <c r="FA3" s="23" t="s">
        <v>3724</v>
      </c>
      <c r="FB3" s="23" t="s">
        <v>3724</v>
      </c>
      <c r="FC3" s="23" t="s">
        <v>1354</v>
      </c>
    </row>
    <row r="4" spans="1:200">
      <c r="GP4" s="674" t="s">
        <v>4697</v>
      </c>
    </row>
  </sheetData>
  <sheetProtection password="C620" sheet="1"/>
  <phoneticPr fontId="19" type="noConversion"/>
  <pageMargins left="0.75" right="0.75" top="1" bottom="1" header="0.5" footer="0.5"/>
  <pageSetup orientation="portrait" horizontalDpi="4294967293" verticalDpi="4294967293" r:id="rId1"/>
  <headerFooter alignWithMargins="0"/>
  <ignoredErrors>
    <ignoredError sqref="FS2:FV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T44"/>
  <sheetViews>
    <sheetView topLeftCell="ES1" workbookViewId="0">
      <selection activeCell="ER1" sqref="A1:ER65536"/>
    </sheetView>
  </sheetViews>
  <sheetFormatPr defaultRowHeight="12.75"/>
  <cols>
    <col min="1" max="1" width="9.140625" style="23" hidden="1" customWidth="1"/>
    <col min="2" max="2" width="10.28515625" style="23" hidden="1" customWidth="1"/>
    <col min="3" max="3" width="10.5703125" style="23" hidden="1" customWidth="1"/>
    <col min="4" max="4" width="6.7109375" style="23" hidden="1" customWidth="1"/>
    <col min="5" max="6" width="8.42578125" style="23" hidden="1" customWidth="1"/>
    <col min="7" max="7" width="10" style="23" hidden="1" customWidth="1"/>
    <col min="8" max="8" width="8.42578125" style="23" hidden="1" customWidth="1"/>
    <col min="9" max="9" width="8.28515625" style="23" hidden="1" customWidth="1"/>
    <col min="10" max="10" width="8.42578125" style="23" hidden="1" customWidth="1"/>
    <col min="11" max="11" width="6.140625" style="39" hidden="1" customWidth="1"/>
    <col min="12" max="12" width="12.28515625" style="23" hidden="1" customWidth="1"/>
    <col min="13" max="13" width="10" style="23" hidden="1" customWidth="1"/>
    <col min="14" max="16" width="10" style="39" hidden="1" customWidth="1"/>
    <col min="17" max="17" width="8.42578125" style="39" hidden="1" customWidth="1"/>
    <col min="18" max="18" width="8.85546875" style="39" hidden="1" customWidth="1"/>
    <col min="19" max="20" width="8.42578125" style="39" hidden="1" customWidth="1"/>
    <col min="21" max="21" width="8.42578125" style="23" hidden="1" customWidth="1"/>
    <col min="22" max="22" width="16.140625" style="23" hidden="1" customWidth="1"/>
    <col min="23" max="23" width="12.85546875" style="23" hidden="1" customWidth="1"/>
    <col min="24" max="28" width="8.42578125" style="23" hidden="1" customWidth="1"/>
    <col min="29" max="29" width="11.140625" style="23" hidden="1" customWidth="1"/>
    <col min="30" max="30" width="16.7109375" style="23" hidden="1" customWidth="1"/>
    <col min="31" max="31" width="8.42578125" style="23" hidden="1" customWidth="1"/>
    <col min="32" max="32" width="14.42578125" style="23" hidden="1" customWidth="1"/>
    <col min="33" max="33" width="11.42578125" style="23" hidden="1" customWidth="1"/>
    <col min="34" max="34" width="12.7109375" style="23" hidden="1" customWidth="1"/>
    <col min="35" max="35" width="5.5703125" style="23" hidden="1" customWidth="1"/>
    <col min="36" max="40" width="4.5703125" style="23" hidden="1" customWidth="1"/>
    <col min="41" max="41" width="5.5703125" style="23" hidden="1" customWidth="1"/>
    <col min="42" max="42" width="6.7109375" style="23" hidden="1" customWidth="1"/>
    <col min="43" max="43" width="8.42578125" style="23" hidden="1" customWidth="1"/>
    <col min="44" max="45" width="5.7109375" style="23" hidden="1" customWidth="1"/>
    <col min="46" max="46" width="8.85546875" style="23" hidden="1" customWidth="1"/>
    <col min="47" max="47" width="9" style="23" hidden="1" customWidth="1"/>
    <col min="48" max="48" width="9.85546875" style="23" hidden="1" customWidth="1"/>
    <col min="49" max="49" width="5" style="23" hidden="1" customWidth="1"/>
    <col min="50" max="50" width="77.140625" style="23" hidden="1" customWidth="1"/>
    <col min="51" max="51" width="11.5703125" style="23" hidden="1" customWidth="1"/>
    <col min="52" max="52" width="16" style="23" hidden="1" customWidth="1"/>
    <col min="53" max="53" width="12" style="23" hidden="1" customWidth="1"/>
    <col min="54" max="54" width="7.5703125" style="23" hidden="1" customWidth="1"/>
    <col min="55" max="55" width="9.140625" style="23" hidden="1" customWidth="1"/>
    <col min="56" max="56" width="6.5703125" style="23" hidden="1" customWidth="1"/>
    <col min="57" max="57" width="7.42578125" style="23" hidden="1" customWidth="1"/>
    <col min="58" max="61" width="4.5703125" style="23" hidden="1" customWidth="1"/>
    <col min="62" max="62" width="8.7109375" style="23" hidden="1" customWidth="1"/>
    <col min="63" max="64" width="4.5703125" style="23" hidden="1" customWidth="1"/>
    <col min="65" max="65" width="7.28515625" style="23" hidden="1" customWidth="1"/>
    <col min="66" max="66" width="9.42578125" style="23" hidden="1" customWidth="1"/>
    <col min="67" max="67" width="7" style="23" hidden="1" customWidth="1"/>
    <col min="68" max="69" width="5.5703125" style="23" hidden="1" customWidth="1"/>
    <col min="70" max="70" width="6.140625" style="23" hidden="1" customWidth="1"/>
    <col min="71" max="71" width="5.28515625" style="23" hidden="1" customWidth="1"/>
    <col min="72" max="75" width="5.5703125" style="23" hidden="1" customWidth="1"/>
    <col min="76" max="76" width="7" style="23" hidden="1" customWidth="1"/>
    <col min="77" max="77" width="5" style="23" hidden="1" customWidth="1"/>
    <col min="78" max="78" width="5.42578125" style="23" hidden="1" customWidth="1"/>
    <col min="79" max="79" width="5.28515625" style="23" hidden="1" customWidth="1"/>
    <col min="80" max="80" width="4.5703125" style="23" hidden="1" customWidth="1"/>
    <col min="81" max="81" width="6.140625" style="23" hidden="1" customWidth="1"/>
    <col min="82" max="82" width="8.42578125" style="22" hidden="1" customWidth="1"/>
    <col min="83" max="84" width="4.5703125" style="23" hidden="1" customWidth="1"/>
    <col min="85" max="85" width="12" style="23" hidden="1" customWidth="1"/>
    <col min="86" max="86" width="9.140625" style="23" hidden="1" customWidth="1"/>
    <col min="87" max="87" width="7.5703125" style="23" hidden="1" customWidth="1"/>
    <col min="88" max="88" width="7.140625" style="23" hidden="1" customWidth="1"/>
    <col min="89" max="89" width="9.7109375" style="23" hidden="1" customWidth="1"/>
    <col min="90" max="90" width="9.42578125" style="23" hidden="1" customWidth="1"/>
    <col min="91" max="91" width="8.42578125" style="23" hidden="1" customWidth="1"/>
    <col min="92" max="92" width="18.5703125" style="23" hidden="1" customWidth="1"/>
    <col min="93" max="93" width="13.85546875" style="23" hidden="1" customWidth="1"/>
    <col min="94" max="94" width="7.42578125" style="23" hidden="1" customWidth="1"/>
    <col min="95" max="95" width="9.28515625" style="23" hidden="1" customWidth="1"/>
    <col min="96" max="96" width="6.5703125" style="23" hidden="1" customWidth="1"/>
    <col min="97" max="97" width="12.140625" style="23" hidden="1" customWidth="1"/>
    <col min="98" max="98" width="8.28515625" style="23" hidden="1" customWidth="1"/>
    <col min="99" max="99" width="10.5703125" style="23" hidden="1" customWidth="1"/>
    <col min="100" max="125" width="9.140625" style="23" hidden="1" customWidth="1"/>
    <col min="126" max="126" width="14.140625" style="23" hidden="1" customWidth="1"/>
    <col min="127" max="127" width="15.140625" style="23" hidden="1" customWidth="1"/>
    <col min="128" max="128" width="11.85546875" style="23" hidden="1" customWidth="1"/>
    <col min="129" max="129" width="11.140625" style="23" hidden="1" customWidth="1"/>
    <col min="130" max="130" width="12.7109375" style="23" hidden="1" customWidth="1"/>
    <col min="131" max="132" width="8.7109375" style="23" hidden="1" customWidth="1"/>
    <col min="133" max="133" width="11.5703125" style="23" hidden="1" customWidth="1"/>
    <col min="134" max="134" width="14.140625" style="23" hidden="1" customWidth="1"/>
    <col min="135" max="135" width="13.140625" style="23" hidden="1" customWidth="1"/>
    <col min="136" max="142" width="9.140625" style="23" hidden="1" customWidth="1"/>
    <col min="143" max="145" width="9.140625" style="46" hidden="1" customWidth="1"/>
    <col min="146" max="146" width="9.140625" style="23" hidden="1" customWidth="1"/>
    <col min="147" max="148" width="10.140625" style="23" hidden="1" customWidth="1"/>
    <col min="151" max="16384" width="9.140625" style="23"/>
  </cols>
  <sheetData>
    <row r="1" spans="1:148" s="22" customFormat="1">
      <c r="A1" s="22" t="s">
        <v>1360</v>
      </c>
      <c r="B1" s="22">
        <v>15</v>
      </c>
      <c r="C1" s="22">
        <v>13</v>
      </c>
      <c r="D1" s="22">
        <v>18</v>
      </c>
      <c r="G1" s="22">
        <v>19</v>
      </c>
      <c r="H1" s="22">
        <v>42</v>
      </c>
      <c r="I1" s="22">
        <v>17</v>
      </c>
      <c r="K1" s="54">
        <v>2</v>
      </c>
      <c r="M1" s="22">
        <v>3</v>
      </c>
      <c r="N1" s="54">
        <v>4</v>
      </c>
      <c r="O1" s="54">
        <v>5</v>
      </c>
      <c r="P1" s="54"/>
      <c r="Q1" s="54"/>
      <c r="R1" s="54">
        <v>6</v>
      </c>
      <c r="S1" s="54"/>
      <c r="T1" s="54"/>
      <c r="V1" s="22">
        <v>100</v>
      </c>
      <c r="W1" s="22">
        <v>80</v>
      </c>
      <c r="AH1" s="22">
        <v>76</v>
      </c>
      <c r="AI1" s="22">
        <v>27</v>
      </c>
      <c r="AJ1" s="22">
        <v>86</v>
      </c>
      <c r="AK1" s="22">
        <v>112</v>
      </c>
      <c r="AL1" s="22">
        <v>113</v>
      </c>
      <c r="AM1" s="22">
        <v>87</v>
      </c>
      <c r="AN1" s="22">
        <v>114</v>
      </c>
      <c r="AO1" s="22">
        <v>28</v>
      </c>
      <c r="AP1" s="22">
        <v>30</v>
      </c>
      <c r="AQ1" s="22">
        <v>109</v>
      </c>
      <c r="AR1" s="22">
        <v>29</v>
      </c>
      <c r="AS1" s="22">
        <v>54</v>
      </c>
      <c r="AT1" s="22">
        <v>52</v>
      </c>
      <c r="AU1" s="22">
        <v>53</v>
      </c>
      <c r="AV1" s="22">
        <v>24</v>
      </c>
      <c r="AW1" s="22">
        <v>110</v>
      </c>
      <c r="AX1" s="22">
        <v>111</v>
      </c>
      <c r="AY1" s="22">
        <v>50</v>
      </c>
      <c r="AZ1" s="22">
        <v>51</v>
      </c>
      <c r="BA1" s="22">
        <v>43</v>
      </c>
      <c r="BB1" s="22">
        <v>44</v>
      </c>
      <c r="BC1" s="22">
        <v>125</v>
      </c>
      <c r="BD1" s="22">
        <v>23</v>
      </c>
      <c r="BE1" s="22">
        <v>25</v>
      </c>
      <c r="BF1" s="22">
        <v>55</v>
      </c>
      <c r="BG1" s="22">
        <v>56</v>
      </c>
      <c r="BH1" s="22">
        <v>57</v>
      </c>
      <c r="BI1" s="22">
        <v>41</v>
      </c>
      <c r="BJ1" s="22">
        <v>64</v>
      </c>
      <c r="BK1" s="22">
        <v>65</v>
      </c>
      <c r="BL1" s="22">
        <v>66</v>
      </c>
      <c r="BM1" s="22">
        <v>60</v>
      </c>
      <c r="BN1" s="22">
        <v>117</v>
      </c>
      <c r="BO1" s="22">
        <v>122</v>
      </c>
      <c r="BP1" s="22">
        <v>58</v>
      </c>
      <c r="BQ1" s="22">
        <v>59</v>
      </c>
      <c r="BR1" s="22">
        <v>119</v>
      </c>
      <c r="BS1" s="22">
        <v>103</v>
      </c>
      <c r="BT1" s="22">
        <v>102</v>
      </c>
      <c r="BU1" s="22">
        <v>107</v>
      </c>
      <c r="BV1" s="22">
        <v>62</v>
      </c>
      <c r="BW1" s="22">
        <v>88</v>
      </c>
      <c r="BX1" s="22">
        <v>63</v>
      </c>
      <c r="BY1" s="22">
        <v>89</v>
      </c>
      <c r="BZ1" s="22">
        <v>45</v>
      </c>
      <c r="CA1" s="22">
        <v>46</v>
      </c>
      <c r="CB1" s="22">
        <v>47</v>
      </c>
      <c r="CC1" s="22">
        <v>48</v>
      </c>
      <c r="CD1" s="22">
        <v>16</v>
      </c>
      <c r="CE1" s="22">
        <v>68</v>
      </c>
      <c r="CF1" s="22">
        <v>69</v>
      </c>
      <c r="CG1" s="22">
        <v>72</v>
      </c>
      <c r="CH1" s="22">
        <v>73</v>
      </c>
      <c r="CI1" s="22">
        <v>75</v>
      </c>
      <c r="CJ1" s="22">
        <v>74</v>
      </c>
      <c r="CK1" s="22">
        <v>81</v>
      </c>
      <c r="CL1" s="22">
        <v>104</v>
      </c>
      <c r="CM1" s="22">
        <v>106</v>
      </c>
      <c r="CN1" s="22">
        <v>105</v>
      </c>
      <c r="CO1" s="22">
        <v>116</v>
      </c>
      <c r="CP1" s="22">
        <v>21</v>
      </c>
      <c r="CQ1" s="22">
        <v>79</v>
      </c>
      <c r="CR1" s="22">
        <v>26</v>
      </c>
      <c r="CS1" s="22">
        <v>70</v>
      </c>
      <c r="CT1" s="22">
        <v>71</v>
      </c>
      <c r="CU1" s="23" t="s">
        <v>3720</v>
      </c>
      <c r="CV1" s="23" t="s">
        <v>2299</v>
      </c>
      <c r="CW1" s="23" t="s">
        <v>1067</v>
      </c>
      <c r="CX1" s="23" t="s">
        <v>3819</v>
      </c>
      <c r="CY1" s="23" t="s">
        <v>3820</v>
      </c>
      <c r="CZ1" s="23" t="s">
        <v>3712</v>
      </c>
      <c r="DA1" s="23" t="s">
        <v>3818</v>
      </c>
      <c r="DB1" s="23" t="s">
        <v>2282</v>
      </c>
      <c r="DC1" s="23" t="s">
        <v>842</v>
      </c>
      <c r="DD1" s="22" t="s">
        <v>2281</v>
      </c>
      <c r="DE1" s="22" t="s">
        <v>1103</v>
      </c>
      <c r="DF1" s="22" t="s">
        <v>1361</v>
      </c>
      <c r="DG1" s="22" t="s">
        <v>1362</v>
      </c>
      <c r="DH1" s="22" t="s">
        <v>1363</v>
      </c>
      <c r="DI1" s="22" t="s">
        <v>1364</v>
      </c>
      <c r="DJ1" s="22" t="s">
        <v>1365</v>
      </c>
      <c r="DK1" s="22" t="s">
        <v>1366</v>
      </c>
      <c r="DL1" s="22" t="s">
        <v>1367</v>
      </c>
      <c r="DM1" s="22" t="s">
        <v>1379</v>
      </c>
      <c r="DN1" s="23" t="s">
        <v>2289</v>
      </c>
      <c r="DO1" s="23" t="s">
        <v>2290</v>
      </c>
      <c r="DP1" s="23" t="s">
        <v>2291</v>
      </c>
      <c r="DQ1" s="23" t="s">
        <v>2292</v>
      </c>
      <c r="DR1" s="23" t="s">
        <v>2293</v>
      </c>
      <c r="DS1" s="23" t="s">
        <v>2294</v>
      </c>
      <c r="DT1" s="23" t="s">
        <v>2295</v>
      </c>
      <c r="DU1" s="23" t="s">
        <v>2296</v>
      </c>
      <c r="DV1" s="22" t="s">
        <v>1589</v>
      </c>
      <c r="DW1" s="22" t="s">
        <v>1591</v>
      </c>
      <c r="DX1" s="22" t="s">
        <v>1592</v>
      </c>
      <c r="DY1" s="22" t="s">
        <v>1595</v>
      </c>
      <c r="DZ1" s="22" t="s">
        <v>186</v>
      </c>
      <c r="EA1" s="303" t="s">
        <v>188</v>
      </c>
      <c r="EB1" s="303" t="s">
        <v>2555</v>
      </c>
      <c r="EC1" s="22" t="s">
        <v>3281</v>
      </c>
      <c r="ED1" s="22" t="s">
        <v>3282</v>
      </c>
      <c r="EE1" s="22" t="s">
        <v>2333</v>
      </c>
      <c r="EF1" s="175" t="s">
        <v>195</v>
      </c>
      <c r="EG1" s="22" t="s">
        <v>3101</v>
      </c>
      <c r="EH1" s="22" t="s">
        <v>3102</v>
      </c>
      <c r="EI1" s="22" t="s">
        <v>3929</v>
      </c>
      <c r="EJ1" s="22" t="s">
        <v>3928</v>
      </c>
      <c r="EK1" s="22" t="s">
        <v>2311</v>
      </c>
      <c r="EL1" s="22" t="s">
        <v>3401</v>
      </c>
      <c r="EM1" s="673" t="s">
        <v>3181</v>
      </c>
      <c r="EN1" s="673" t="s">
        <v>4452</v>
      </c>
      <c r="EO1" s="673" t="s">
        <v>4453</v>
      </c>
      <c r="EP1" s="467" t="s">
        <v>4789</v>
      </c>
      <c r="EQ1" s="22" t="s">
        <v>3886</v>
      </c>
      <c r="ER1" s="22" t="s">
        <v>3887</v>
      </c>
    </row>
    <row r="2" spans="1:148">
      <c r="A2" s="23" t="s">
        <v>1380</v>
      </c>
      <c r="B2" s="24" t="s">
        <v>3258</v>
      </c>
      <c r="C2" s="24" t="s">
        <v>3260</v>
      </c>
      <c r="D2" s="24" t="s">
        <v>693</v>
      </c>
      <c r="E2" s="25" t="s">
        <v>1567</v>
      </c>
      <c r="F2" s="26" t="s">
        <v>1570</v>
      </c>
      <c r="G2" s="27" t="s">
        <v>426</v>
      </c>
      <c r="H2" s="28" t="s">
        <v>427</v>
      </c>
      <c r="I2" s="29" t="s">
        <v>900</v>
      </c>
      <c r="J2" s="29" t="s">
        <v>903</v>
      </c>
      <c r="K2" s="55" t="s">
        <v>694</v>
      </c>
      <c r="L2" s="29" t="s">
        <v>695</v>
      </c>
      <c r="M2" s="29" t="s">
        <v>696</v>
      </c>
      <c r="N2" s="55" t="s">
        <v>697</v>
      </c>
      <c r="O2" s="55" t="s">
        <v>698</v>
      </c>
      <c r="P2" s="55" t="s">
        <v>699</v>
      </c>
      <c r="Q2" s="56" t="s">
        <v>700</v>
      </c>
      <c r="R2" s="57" t="s">
        <v>3558</v>
      </c>
      <c r="S2" s="55" t="s">
        <v>701</v>
      </c>
      <c r="T2" s="58" t="s">
        <v>3560</v>
      </c>
      <c r="U2" s="29" t="s">
        <v>702</v>
      </c>
      <c r="V2" s="30" t="s">
        <v>3737</v>
      </c>
      <c r="W2" s="31" t="s">
        <v>703</v>
      </c>
      <c r="X2" s="32" t="s">
        <v>3747</v>
      </c>
      <c r="Y2" s="32" t="s">
        <v>3748</v>
      </c>
      <c r="Z2" s="32" t="s">
        <v>3749</v>
      </c>
      <c r="AA2" s="33" t="s">
        <v>704</v>
      </c>
      <c r="AB2" s="32" t="s">
        <v>3891</v>
      </c>
      <c r="AC2" s="32" t="s">
        <v>3892</v>
      </c>
      <c r="AD2" s="32" t="s">
        <v>705</v>
      </c>
      <c r="AE2" s="30" t="s">
        <v>706</v>
      </c>
      <c r="AF2" s="30" t="s">
        <v>3931</v>
      </c>
      <c r="AG2" s="30" t="s">
        <v>3932</v>
      </c>
      <c r="AH2" s="30" t="s">
        <v>708</v>
      </c>
      <c r="AI2" s="33" t="s">
        <v>3903</v>
      </c>
      <c r="AJ2" s="33" t="s">
        <v>3906</v>
      </c>
      <c r="AK2" s="34" t="s">
        <v>3909</v>
      </c>
      <c r="AL2" s="34" t="s">
        <v>3912</v>
      </c>
      <c r="AM2" s="35" t="s">
        <v>3907</v>
      </c>
      <c r="AN2" s="36" t="s">
        <v>3910</v>
      </c>
      <c r="AO2" s="33" t="s">
        <v>3914</v>
      </c>
      <c r="AP2" s="33" t="s">
        <v>3916</v>
      </c>
      <c r="AQ2" s="34" t="s">
        <v>709</v>
      </c>
      <c r="AR2" s="33" t="s">
        <v>3922</v>
      </c>
      <c r="AS2" s="33" t="s">
        <v>3923</v>
      </c>
      <c r="AT2" s="33" t="s">
        <v>710</v>
      </c>
      <c r="AU2" s="33" t="s">
        <v>711</v>
      </c>
      <c r="AV2" s="30" t="s">
        <v>3749</v>
      </c>
      <c r="AW2" s="30" t="s">
        <v>712</v>
      </c>
      <c r="AX2" s="33" t="s">
        <v>3924</v>
      </c>
      <c r="AY2" s="33" t="s">
        <v>713</v>
      </c>
      <c r="AZ2" s="33" t="s">
        <v>714</v>
      </c>
      <c r="BA2" s="33" t="s">
        <v>715</v>
      </c>
      <c r="BB2" s="37" t="s">
        <v>716</v>
      </c>
      <c r="BC2" s="33" t="s">
        <v>2170</v>
      </c>
      <c r="BD2" s="30" t="s">
        <v>425</v>
      </c>
      <c r="BE2" s="30" t="s">
        <v>1569</v>
      </c>
      <c r="BF2" s="33" t="s">
        <v>389</v>
      </c>
      <c r="BG2" s="33" t="s">
        <v>391</v>
      </c>
      <c r="BH2" s="33" t="s">
        <v>394</v>
      </c>
      <c r="BI2" s="33" t="s">
        <v>397</v>
      </c>
      <c r="BJ2" s="33" t="s">
        <v>399</v>
      </c>
      <c r="BK2" s="33" t="s">
        <v>390</v>
      </c>
      <c r="BL2" s="33" t="s">
        <v>392</v>
      </c>
      <c r="BM2" s="30" t="s">
        <v>892</v>
      </c>
      <c r="BN2" s="38" t="s">
        <v>2447</v>
      </c>
      <c r="BO2" s="33" t="s">
        <v>406</v>
      </c>
      <c r="BP2" s="33" t="s">
        <v>1109</v>
      </c>
      <c r="BQ2" s="33" t="s">
        <v>1110</v>
      </c>
      <c r="BR2" s="33" t="s">
        <v>1503</v>
      </c>
      <c r="BS2" s="33" t="s">
        <v>1504</v>
      </c>
      <c r="BT2" s="33" t="s">
        <v>1506</v>
      </c>
      <c r="BU2" s="33" t="s">
        <v>1507</v>
      </c>
      <c r="BV2" s="33" t="s">
        <v>1510</v>
      </c>
      <c r="BW2" s="33" t="s">
        <v>171</v>
      </c>
      <c r="BX2" s="33" t="s">
        <v>175</v>
      </c>
      <c r="BY2" s="33" t="s">
        <v>177</v>
      </c>
      <c r="BZ2" s="33" t="s">
        <v>2448</v>
      </c>
      <c r="CA2" s="33" t="s">
        <v>2449</v>
      </c>
      <c r="CB2" s="33" t="s">
        <v>2450</v>
      </c>
      <c r="CC2" s="33" t="s">
        <v>2451</v>
      </c>
      <c r="CD2" s="33" t="s">
        <v>1072</v>
      </c>
      <c r="CE2" s="33" t="s">
        <v>676</v>
      </c>
      <c r="CF2" s="33" t="s">
        <v>3005</v>
      </c>
      <c r="CG2" s="33" t="s">
        <v>2452</v>
      </c>
      <c r="CH2" s="30" t="s">
        <v>2453</v>
      </c>
      <c r="CI2" s="30" t="s">
        <v>2454</v>
      </c>
      <c r="CJ2" s="30" t="s">
        <v>2455</v>
      </c>
      <c r="CK2" s="30" t="s">
        <v>2456</v>
      </c>
      <c r="CL2" s="30" t="s">
        <v>2457</v>
      </c>
      <c r="CM2" s="30" t="s">
        <v>2458</v>
      </c>
      <c r="CN2" s="30" t="s">
        <v>2459</v>
      </c>
      <c r="CO2" s="30" t="s">
        <v>2460</v>
      </c>
      <c r="CP2" s="30" t="s">
        <v>2461</v>
      </c>
      <c r="CQ2" s="30" t="s">
        <v>2462</v>
      </c>
      <c r="CR2" s="30" t="s">
        <v>2463</v>
      </c>
      <c r="CS2" s="30" t="s">
        <v>2464</v>
      </c>
      <c r="CT2" s="30" t="s">
        <v>2465</v>
      </c>
      <c r="CU2" s="39">
        <v>30</v>
      </c>
      <c r="CV2" s="23">
        <f>IF(Application!C345=2,1,0)</f>
        <v>0</v>
      </c>
      <c r="CW2" s="39">
        <f>'Area 2'!A39</f>
        <v>0</v>
      </c>
      <c r="CX2" s="39">
        <v>0</v>
      </c>
      <c r="CY2" s="39">
        <v>0</v>
      </c>
      <c r="CZ2" s="39" t="s">
        <v>2466</v>
      </c>
      <c r="DA2" s="39">
        <v>0</v>
      </c>
      <c r="DB2" s="39">
        <v>0</v>
      </c>
      <c r="DC2" s="39">
        <v>0</v>
      </c>
      <c r="DD2" s="39">
        <v>0</v>
      </c>
      <c r="DE2" s="39">
        <v>0</v>
      </c>
      <c r="DF2" s="39">
        <v>0</v>
      </c>
      <c r="DG2" s="39">
        <v>0</v>
      </c>
      <c r="DH2" s="39">
        <v>0</v>
      </c>
      <c r="DI2" s="39">
        <v>0</v>
      </c>
      <c r="DJ2" s="39">
        <v>0</v>
      </c>
      <c r="DK2" s="39">
        <v>0</v>
      </c>
      <c r="DL2" s="39">
        <v>0</v>
      </c>
      <c r="DM2" s="39">
        <v>0</v>
      </c>
      <c r="DN2" s="39" t="s">
        <v>2467</v>
      </c>
      <c r="DO2" s="39">
        <f>DO8</f>
        <v>0</v>
      </c>
      <c r="DP2" s="39">
        <v>0</v>
      </c>
      <c r="DQ2" s="39">
        <f>IF(Application!C374=TRUE,0,1)</f>
        <v>1</v>
      </c>
      <c r="DR2" s="39">
        <v>0</v>
      </c>
      <c r="DS2" s="39">
        <v>0</v>
      </c>
      <c r="DT2" s="39">
        <v>0</v>
      </c>
      <c r="DU2" s="39">
        <v>0</v>
      </c>
      <c r="DV2" s="40">
        <f>IF(Application!C344=1,1,Application!C344-1)</f>
        <v>1</v>
      </c>
      <c r="DW2" s="23">
        <f>MAX(DW12:DW13)</f>
        <v>0</v>
      </c>
      <c r="DX2" s="23">
        <f>Application!C312-1</f>
        <v>0</v>
      </c>
      <c r="DY2" s="23">
        <f>Application!D52</f>
        <v>0</v>
      </c>
      <c r="DZ2" s="23">
        <f>IF(Application!C230="",0,IF(CODE(Application!C230)&gt;48,IF(CODE(Application!C230)&lt;58,Application!C230,0),0))</f>
        <v>0</v>
      </c>
      <c r="EA2" s="41">
        <f>IF(Application!D102="",0,ROUND(Application!D102,2))</f>
        <v>0</v>
      </c>
      <c r="EB2" s="41">
        <f>IF(Application!D102="",0,ROUND(Application!D102,2))</f>
        <v>0</v>
      </c>
      <c r="EC2" s="23">
        <f>IF(Application!C347=1,0,Application!C347-2)</f>
        <v>0</v>
      </c>
      <c r="ED2" s="23">
        <v>2018</v>
      </c>
      <c r="EE2" s="23">
        <f>Application!C307-1</f>
        <v>0</v>
      </c>
      <c r="EF2" s="41">
        <f>IF(Application!D101&gt;0,ROUND(Application!D101,2),0)</f>
        <v>0</v>
      </c>
      <c r="EG2" s="23">
        <f>IF(OR(Application!$C$346=2,Application!C369=2,Application!C370=2,Application!C371=2),1,0)</f>
        <v>0</v>
      </c>
      <c r="EH2" s="23">
        <f>IF(Application!C348=2,1,0)</f>
        <v>0</v>
      </c>
      <c r="EI2" s="23">
        <f>IF(Application!C340=2,1,0)</f>
        <v>0</v>
      </c>
      <c r="EJ2" s="42">
        <f>Application!C216</f>
        <v>0</v>
      </c>
      <c r="EK2" s="23">
        <f>Application!G223</f>
        <v>0</v>
      </c>
      <c r="EL2" s="23">
        <f>IF(Application!C359&lt;3,0,Application!C359-2)</f>
        <v>0</v>
      </c>
      <c r="EN2" s="46">
        <f>Application!E165</f>
        <v>0</v>
      </c>
      <c r="EO2" s="672">
        <f>Application!D132</f>
        <v>0</v>
      </c>
      <c r="EP2" s="40">
        <f>Application!C376</f>
        <v>3</v>
      </c>
      <c r="EQ2" s="382">
        <f>Application!C235</f>
        <v>0</v>
      </c>
      <c r="ER2" s="382">
        <f>Application!G235</f>
        <v>0</v>
      </c>
    </row>
    <row r="3" spans="1:148">
      <c r="A3" s="23" t="s">
        <v>2468</v>
      </c>
      <c r="B3" s="23" t="str">
        <f>UPPER(Application!C12)</f>
        <v/>
      </c>
      <c r="C3" s="42">
        <f>Application!C13</f>
        <v>0</v>
      </c>
      <c r="D3" s="23" t="str">
        <f>UPPER(Application!C32)</f>
        <v/>
      </c>
      <c r="E3" s="42">
        <f>Application!C34</f>
        <v>0</v>
      </c>
      <c r="F3" s="42">
        <f>Application!C33</f>
        <v>0</v>
      </c>
      <c r="G3" s="42">
        <f>Application!C37</f>
        <v>0</v>
      </c>
      <c r="H3" s="39">
        <f>IF(Application!C14=0,0,Application!C14)</f>
        <v>0</v>
      </c>
      <c r="I3" s="42">
        <f>Application!C35</f>
        <v>0</v>
      </c>
      <c r="J3" s="42">
        <f>Application!C36</f>
        <v>0</v>
      </c>
      <c r="K3" s="39">
        <f>Application!C215</f>
        <v>0</v>
      </c>
      <c r="L3" s="42">
        <f>Application!C217</f>
        <v>0</v>
      </c>
      <c r="M3" s="42">
        <f>Application!C218</f>
        <v>0</v>
      </c>
      <c r="N3" s="42">
        <f>Application!C219</f>
        <v>0</v>
      </c>
      <c r="O3" s="42">
        <f>Application!C220</f>
        <v>0</v>
      </c>
      <c r="P3" s="42">
        <f>Application!C221</f>
        <v>0</v>
      </c>
      <c r="Q3" s="39" t="str">
        <f ca="1">country1!A34</f>
        <v>United States</v>
      </c>
      <c r="R3" s="42">
        <f>Application!C222</f>
        <v>0</v>
      </c>
      <c r="S3" s="42">
        <f>Application!G222</f>
        <v>0</v>
      </c>
      <c r="T3" s="42">
        <f>Application!G224</f>
        <v>0</v>
      </c>
      <c r="U3" s="42">
        <f>Application!C225</f>
        <v>0</v>
      </c>
      <c r="V3" s="23">
        <f>IF(Application!C231="",0,IF(CODE(Application!C231)&gt;48,IF(CODE(Application!C231)&lt;58,Application!C231,0),0))</f>
        <v>0</v>
      </c>
      <c r="W3" s="23">
        <f>IF(Application!C323=TRUE,0,1)</f>
        <v>0</v>
      </c>
      <c r="X3" s="23">
        <f>Application!C304</f>
        <v>1</v>
      </c>
      <c r="Y3" s="23">
        <f>Application!C305-1</f>
        <v>0</v>
      </c>
      <c r="Z3" s="23">
        <f>Application!C306-1</f>
        <v>0</v>
      </c>
      <c r="AA3" s="23">
        <f>AA8</f>
        <v>1</v>
      </c>
      <c r="AB3" s="23">
        <f>IF(Application!C308&lt;10,Application!C308,99)</f>
        <v>1</v>
      </c>
      <c r="AC3" s="23">
        <f>Application!C309-1</f>
        <v>0</v>
      </c>
      <c r="AD3" s="23">
        <f>IF(Application!C310&gt;6,99,Application!C310-1)</f>
        <v>0</v>
      </c>
      <c r="AE3" s="23">
        <f>IF(Application!C337=1,0,Application!C337-2)</f>
        <v>0</v>
      </c>
      <c r="AF3" s="23">
        <f>IF(Application!C338=1,0,Application!C338-2)</f>
        <v>0</v>
      </c>
      <c r="AG3" s="23">
        <f>IF(Application!C336=1,0,Application!C336-2)</f>
        <v>0</v>
      </c>
      <c r="AH3" s="23">
        <f>IF(AH11=TRUE,3,IF(AH9=1,1,IF(AH10=1,2,0)))</f>
        <v>0</v>
      </c>
      <c r="AI3" s="41">
        <f>ROUND(Application!D43,2)</f>
        <v>0</v>
      </c>
      <c r="AJ3" s="41">
        <f>ROUND(Application!D44,2)</f>
        <v>0</v>
      </c>
      <c r="AK3" s="41">
        <f>ROUND(Application!D45,2)</f>
        <v>0</v>
      </c>
      <c r="AL3" s="41">
        <f>ROUND(Application!D46,2)</f>
        <v>0</v>
      </c>
      <c r="AM3" s="41">
        <f>ROUND(Application!D47,2)</f>
        <v>0</v>
      </c>
      <c r="AN3" s="41">
        <f>ROUND(Application!D48,2)</f>
        <v>0</v>
      </c>
      <c r="AO3" s="41">
        <f>ROUND(Application!D49,2)</f>
        <v>0</v>
      </c>
      <c r="AP3" s="23">
        <f>ROUND(Application!D50,0)</f>
        <v>0</v>
      </c>
      <c r="AQ3" s="23">
        <f>ROUND(Application!F53,0)</f>
        <v>0</v>
      </c>
      <c r="AR3" s="41">
        <f>ROUND(Application!D54,2)</f>
        <v>0</v>
      </c>
      <c r="AS3" s="23">
        <f>IF(AND(Application!C306&gt;4,Application!C306&lt;8),0,ROUND(Application!D55,2))</f>
        <v>0</v>
      </c>
      <c r="AT3" s="23">
        <f>IF(AND(Application!C306&gt;4,Application!C306&lt;8),ROUND(Application!D55,2),0)</f>
        <v>0</v>
      </c>
      <c r="AU3" s="23">
        <f>IF(AND(Application!C306&gt;4,Application!C306&lt;8),ROUND(Application!D56,2),0)</f>
        <v>0</v>
      </c>
      <c r="AV3" s="23">
        <f>IF(AV7=TRUE,1,IF(AV8=TRUE,2,IF(AV9=TRUE,3,IF(AV10=TRUE,4,IF(AV11=TRUE,5,99)))))</f>
        <v>99</v>
      </c>
      <c r="AW3" s="23">
        <f>IF(OR(Application!C307=13,Application!C307=14,Application!D58&gt;0),1,0)</f>
        <v>0</v>
      </c>
      <c r="AX3" s="41">
        <f>ROUND(Application!D58,2)</f>
        <v>0</v>
      </c>
      <c r="AY3" s="23">
        <f>MAX(AY32:AY33)</f>
        <v>0</v>
      </c>
      <c r="AZ3" s="23">
        <f>IF(AV3&lt;&gt;4,0,IF(AZ37=TRUE,1,IF(AZ38=TRUE,2,IF(AZ39=TRUE,3,"U"))))</f>
        <v>0</v>
      </c>
      <c r="BA3" s="23">
        <f>IF(BA41=TRUE,0,IF(BA42=TRUE,1,IF(BA43=TRUE,2,IF(BA44=TRUE,3,"U"))))</f>
        <v>0</v>
      </c>
      <c r="BB3" s="23">
        <f>ROUND(Application!D169,0)</f>
        <v>0</v>
      </c>
      <c r="BC3" s="23">
        <f>ROUND(Application!E172,1)</f>
        <v>0</v>
      </c>
      <c r="BD3" s="23">
        <f>Application!C314-1</f>
        <v>0</v>
      </c>
      <c r="BE3" s="23">
        <f>Application!C315-1</f>
        <v>0</v>
      </c>
      <c r="BF3" s="41">
        <f>ROUND(Application!D87,2)</f>
        <v>0</v>
      </c>
      <c r="BG3" s="41">
        <f>ROUND(Application!D88,2)</f>
        <v>0</v>
      </c>
      <c r="BH3" s="41">
        <f>ROUND(Application!D89,2)</f>
        <v>0</v>
      </c>
      <c r="BI3" s="41">
        <f>ROUND(Application!D90,2)</f>
        <v>0</v>
      </c>
      <c r="BJ3" s="41">
        <f>ROUND(Application!D91,2)</f>
        <v>0</v>
      </c>
      <c r="BK3" s="41">
        <f>ROUND(Application!D180,2)</f>
        <v>0</v>
      </c>
      <c r="BL3" s="41">
        <f>ROUND(Application!D181,2)</f>
        <v>0</v>
      </c>
      <c r="BM3" s="23">
        <f>Application!C316-2</f>
        <v>-1</v>
      </c>
      <c r="BN3" s="23">
        <f>IF(AND(BN10=0,BN11=0),0,BN10)</f>
        <v>0</v>
      </c>
      <c r="BO3" s="41">
        <f>ROUND(Application!D97,2)</f>
        <v>0</v>
      </c>
      <c r="BP3" s="41">
        <f>ROUND(Application!D98,2)</f>
        <v>0</v>
      </c>
      <c r="BQ3" s="41">
        <f>ROUND(Application!D99,2)</f>
        <v>0</v>
      </c>
      <c r="BR3" s="41">
        <f>IF(Application!D100&gt;0,ROUND(Application!D100,2),0)</f>
        <v>0</v>
      </c>
      <c r="BS3" s="41">
        <f>IF(Application!D106=0,ROUND(0.65*Application!D88,2),ROUND(Application!D106,2))</f>
        <v>0</v>
      </c>
      <c r="BT3" s="41">
        <f>IF(Application!D105=0,ROUND(0.38*Application!D88,2),ROUND(Application!D105,2))</f>
        <v>0</v>
      </c>
      <c r="BU3" s="41">
        <f>IF(Application!D104=0,ROUND(0.22*Application!D88,2),ROUND(Application!D104,2))</f>
        <v>0</v>
      </c>
      <c r="BV3" s="41">
        <f>ROUND(Application!D109,2)</f>
        <v>0</v>
      </c>
      <c r="BW3" s="41">
        <f>ROUND(Application!D110,2)</f>
        <v>0</v>
      </c>
      <c r="BX3" s="41">
        <f>ROUND(Application!D111,2)</f>
        <v>0</v>
      </c>
      <c r="BY3" s="41">
        <f>ROUND(Application!D112,2)</f>
        <v>0</v>
      </c>
      <c r="BZ3" s="41">
        <f>ROUND(Application!D113,2)</f>
        <v>0</v>
      </c>
      <c r="CA3" s="41">
        <f>ROUND(Application!D114,2)</f>
        <v>0</v>
      </c>
      <c r="CB3" s="41">
        <f>ROUND(Application!D115,2)</f>
        <v>0</v>
      </c>
      <c r="CC3" s="41">
        <f>ROUND(Application!D116,2)</f>
        <v>0</v>
      </c>
      <c r="CD3" s="43">
        <f>CD30</f>
        <v>0</v>
      </c>
      <c r="CE3" s="41">
        <f>ROUND(Application!D182,2)</f>
        <v>0</v>
      </c>
      <c r="CF3" s="41">
        <f>ROUND(Application!D183,2)</f>
        <v>0</v>
      </c>
      <c r="CG3" s="23">
        <f>CG8</f>
        <v>0</v>
      </c>
      <c r="CH3" s="23">
        <f>Application!D130</f>
        <v>0</v>
      </c>
      <c r="CI3" s="23">
        <f>Application!D131</f>
        <v>0</v>
      </c>
      <c r="CJ3" s="23">
        <f>Application!D132</f>
        <v>0</v>
      </c>
      <c r="CK3" s="23">
        <v>0</v>
      </c>
      <c r="CL3" s="23">
        <f>IF(Application!C318&lt;3,0,1)</f>
        <v>0</v>
      </c>
      <c r="CM3" s="23">
        <f>IF(OR(CM18&gt;1,CM17&gt;0,CM18=0),99,IF(CM13=1,0,IF(CM14=1,1,IF(CM15=1,3,IF(CM16=1,2,IF(CM12=1,4,IF(CM11=1,5,99)))))))</f>
        <v>99</v>
      </c>
      <c r="CN3" s="23">
        <f>IF(Application!C333=2,1,0)</f>
        <v>0</v>
      </c>
      <c r="CO3" s="23">
        <f>IF(CO8=TRUE,0,IF(AND(CO9=TRUE,CO11&lt;3,CO12=FALSE),1,IF(AND(CO10=TRUE,CO11&lt;3,CO12=FALSE),2,0)))</f>
        <v>0</v>
      </c>
      <c r="CP3" s="23">
        <f>IF(Application!C329=2,2,1)</f>
        <v>1</v>
      </c>
      <c r="CQ3" s="23">
        <f>IF(Application!C330=2,1,0)</f>
        <v>0</v>
      </c>
      <c r="CR3" s="23">
        <f>IF(Application!C319&lt;2,0,Application!C319-2)</f>
        <v>0</v>
      </c>
      <c r="CS3" s="23">
        <f>Application!F146</f>
        <v>0</v>
      </c>
      <c r="CT3" s="23">
        <f>CT12</f>
        <v>99</v>
      </c>
      <c r="DO3" s="23" t="s">
        <v>4192</v>
      </c>
    </row>
    <row r="4" spans="1:148">
      <c r="DZ4" s="23" t="e">
        <f>CODE(Application!C230)</f>
        <v>#VALUE!</v>
      </c>
    </row>
    <row r="5" spans="1:148">
      <c r="W5" s="23" t="s">
        <v>138</v>
      </c>
      <c r="AH5" s="44"/>
      <c r="CK5" s="23" t="s">
        <v>4675</v>
      </c>
      <c r="DN5" s="45" t="s">
        <v>3695</v>
      </c>
      <c r="DO5" s="23">
        <f>IF(OR(Application!C350=1,Application!C351=1),-1,IF(AND(Application!C350=2,Application!C351=2),0,IF(AND(Application!C350=3,Application!C351=2),1,IF(AND(Application!C350=2,Application!C351=3),2,IF(AND(Application!C350=3,Application!C351=3),3,-1)))))</f>
        <v>0</v>
      </c>
      <c r="EF5" s="23">
        <f>ROUND(IF(Application!D99&lt;1.1*Application!D89,Application!D99*0.3,Application!D99*0.25),2)</f>
        <v>0</v>
      </c>
      <c r="EP5" s="469" t="s">
        <v>4697</v>
      </c>
    </row>
    <row r="6" spans="1:148">
      <c r="W6" s="23" t="s">
        <v>139</v>
      </c>
      <c r="DN6" s="45" t="s">
        <v>3696</v>
      </c>
      <c r="DO6" s="23">
        <f>IF(AND(Application!C350=4,Application!C351=2),4,IF(AND(Application!C350=4,Application!C351=3),5,IF(AND(Application!C350=2,Application!C351=4),6,IF(AND(Application!C350=3,Application!C351=4),7,IF(AND(Application!C350=4,Application!C351=4),8,-1)))))</f>
        <v>-1</v>
      </c>
      <c r="DY6" s="23">
        <v>1</v>
      </c>
      <c r="DZ6" s="23">
        <f>CODE(1)</f>
        <v>49</v>
      </c>
    </row>
    <row r="7" spans="1:148">
      <c r="AU7" s="45" t="s">
        <v>140</v>
      </c>
      <c r="AV7" s="23" t="b">
        <f>OR(AND(Application!C306&gt;1,Application!C306&lt;4),Application!C306&gt;9)</f>
        <v>0</v>
      </c>
      <c r="AX7" s="45" t="s">
        <v>3442</v>
      </c>
      <c r="CC7" s="45" t="s">
        <v>4083</v>
      </c>
      <c r="CN7" s="45"/>
      <c r="CS7" s="29" t="s">
        <v>3692</v>
      </c>
      <c r="CT7" s="23">
        <f>IF(Application!C320=1,-1,IF(Application!C320&lt;3,0,IF(Application!C320=3,1,IF(Application!C320=4,2,IF(Application!C320=5,3,IF(Application!C320=6,4,IF(Application!C320=7,7,-1)))))))</f>
        <v>-1</v>
      </c>
      <c r="DY7" s="23">
        <v>0</v>
      </c>
      <c r="DZ7" s="23">
        <f>CODE(0)</f>
        <v>48</v>
      </c>
    </row>
    <row r="8" spans="1:148">
      <c r="V8" s="23" t="e">
        <f>CODE(Application!C231)</f>
        <v>#VALUE!</v>
      </c>
      <c r="AA8" s="23">
        <f>IF(Application!C307&lt;8,1,IF(Application!C307&lt;11,2,IF(Application!C307&lt;13,3,IF(Application!C307=14,4,IF(Application!C307=13,5,99)))))</f>
        <v>1</v>
      </c>
      <c r="AU8" s="45" t="s">
        <v>142</v>
      </c>
      <c r="AV8" s="23" t="b">
        <f>AND(Application!C306=8)</f>
        <v>0</v>
      </c>
      <c r="AX8" s="45" t="s">
        <v>3443</v>
      </c>
      <c r="CC8" s="45" t="s">
        <v>4081</v>
      </c>
      <c r="CD8" s="22" t="b">
        <f>AND(Application!D109&gt;0,Application!D110&gt;0,Application!D111&gt;0,Application!D112&gt;0)</f>
        <v>0</v>
      </c>
      <c r="CG8" s="23">
        <f>IF(Application!C317=4,0,Application!C317-1)</f>
        <v>0</v>
      </c>
      <c r="CN8" s="45" t="s">
        <v>143</v>
      </c>
      <c r="CO8" s="23" t="b">
        <f>OR(Application!C328=1,Application!C328=3)</f>
        <v>1</v>
      </c>
      <c r="CS8" s="29" t="s">
        <v>3693</v>
      </c>
      <c r="CT8" s="23">
        <f>IF(Application!C320=8,6,IF(Application!C320=9,8,-1))</f>
        <v>-1</v>
      </c>
      <c r="DN8" s="45" t="s">
        <v>3697</v>
      </c>
      <c r="DO8" s="23">
        <f>MAX(DO5:DO6)</f>
        <v>0</v>
      </c>
      <c r="DY8" s="23">
        <v>9</v>
      </c>
      <c r="DZ8" s="23">
        <f>CODE(9)</f>
        <v>57</v>
      </c>
    </row>
    <row r="9" spans="1:148">
      <c r="AG9" s="45" t="s">
        <v>1692</v>
      </c>
      <c r="AH9" s="23">
        <f>IF(Application!C334=2,1,0)</f>
        <v>0</v>
      </c>
      <c r="AU9" s="45" t="s">
        <v>1693</v>
      </c>
      <c r="AV9" s="23" t="b">
        <f>AND(Application!C306=9)</f>
        <v>0</v>
      </c>
      <c r="AX9" s="45" t="s">
        <v>3444</v>
      </c>
      <c r="AY9" s="23" t="b">
        <f>AND(OR(Application!C311=2,Application!C311=3),OR(Application!C312=1,Application!C312=5))</f>
        <v>0</v>
      </c>
      <c r="CC9" s="45" t="s">
        <v>4080</v>
      </c>
      <c r="CD9" s="22">
        <f>IF(Application!F111&lt;0.1,0,1)</f>
        <v>0</v>
      </c>
      <c r="CN9" s="45" t="s">
        <v>2466</v>
      </c>
      <c r="CO9" s="23" t="b">
        <f>AND(Application!C328=2,Application!C331=3)</f>
        <v>0</v>
      </c>
      <c r="CS9" s="29"/>
      <c r="DZ9" s="23">
        <f>CODE(9)</f>
        <v>57</v>
      </c>
    </row>
    <row r="10" spans="1:148" ht="15">
      <c r="B10" s="42"/>
      <c r="D10" s="42"/>
      <c r="H10" s="28"/>
      <c r="U10" s="23">
        <v>1</v>
      </c>
      <c r="V10" s="23">
        <f>CODE(1)</f>
        <v>49</v>
      </c>
      <c r="AG10" s="45" t="s">
        <v>1694</v>
      </c>
      <c r="AH10" s="23">
        <f>IF(Application!C335=2,1,0)</f>
        <v>0</v>
      </c>
      <c r="AU10" s="45" t="s">
        <v>1695</v>
      </c>
      <c r="AV10" s="23" t="b">
        <f>OR(Application!C306=5,Application!C306=6,Application!C306=7)</f>
        <v>0</v>
      </c>
      <c r="AX10" s="45" t="s">
        <v>3445</v>
      </c>
      <c r="AY10" s="23" t="b">
        <f>AND(Application!C311=11,OR(Application!C312=1,Application!C312=5),AND(Application!C307&gt;1,Application!C307&lt;8))</f>
        <v>0</v>
      </c>
      <c r="BN10" s="40">
        <f>IF(Application!D107+Application!D108=0,0,IF(Application!D107+Application!D108&lt;3,3,Application!D107+Application!D108))</f>
        <v>0</v>
      </c>
      <c r="CC10" s="45" t="s">
        <v>4082</v>
      </c>
      <c r="CD10" s="43" t="str">
        <f>IF(Application!F112&gt;Application!F111,"TRUE","FALSE")</f>
        <v>FALSE</v>
      </c>
      <c r="CN10" s="45" t="s">
        <v>1696</v>
      </c>
      <c r="CO10" s="23" t="b">
        <f>AND(Application!C328=2,Application!C331=2)</f>
        <v>0</v>
      </c>
      <c r="CS10" s="29" t="s">
        <v>3694</v>
      </c>
      <c r="CT10" s="23">
        <f>MAX(CT7:CT8)</f>
        <v>-1</v>
      </c>
      <c r="DY10"/>
      <c r="DZ10" s="270"/>
      <c r="EA10" s="270"/>
      <c r="EB10" s="270"/>
    </row>
    <row r="11" spans="1:148">
      <c r="H11" s="42"/>
      <c r="U11" s="23">
        <v>0</v>
      </c>
      <c r="V11" s="23">
        <f>CODE(0)</f>
        <v>48</v>
      </c>
      <c r="AG11" s="45" t="s">
        <v>1697</v>
      </c>
      <c r="AH11" s="23" t="b">
        <f>AND(Application!C334=2,Application!C335=2)</f>
        <v>0</v>
      </c>
      <c r="AU11" s="45" t="s">
        <v>1698</v>
      </c>
      <c r="AV11" s="23" t="b">
        <f>OR(Application!C306=4)</f>
        <v>0</v>
      </c>
      <c r="AX11" s="45" t="s">
        <v>3446</v>
      </c>
      <c r="AY11" s="23" t="b">
        <f>AND(Application!C311=12,OR(Application!C312=1,Application!C312=5),AND(Application!C307&gt;1,Application!C307&lt;8))</f>
        <v>0</v>
      </c>
      <c r="BN11" s="41">
        <f>SUM(Application!D109:D116)+Application!F111+Application!F112+Application!F115+Application!F116</f>
        <v>0</v>
      </c>
      <c r="CL11" s="45" t="s">
        <v>4355</v>
      </c>
      <c r="CM11" s="23">
        <f>IF(Application!C321=7,1,0)</f>
        <v>0</v>
      </c>
      <c r="CN11" s="45" t="s">
        <v>1699</v>
      </c>
      <c r="CO11" s="22">
        <f>Application!C364</f>
        <v>1</v>
      </c>
      <c r="CS11" s="29" t="s">
        <v>3690</v>
      </c>
      <c r="CT11" s="23">
        <f>IF(CT10&lt;0,-1,IF(CT10=0,0,IF(Application!C341-1&gt;1,Inputs!CT10+10,Inputs!CT10)))</f>
        <v>-1</v>
      </c>
    </row>
    <row r="12" spans="1:148">
      <c r="H12" s="42"/>
      <c r="U12" s="23">
        <v>9</v>
      </c>
      <c r="V12" s="23">
        <f>CODE(9)</f>
        <v>57</v>
      </c>
      <c r="AX12" s="45" t="s">
        <v>3447</v>
      </c>
      <c r="AY12" s="23" t="b">
        <f>AND(Application!C311=10,OR(Application!C312=1,Application!C312=5),AND(Application!C307&gt;1,Application!C307&lt;8))</f>
        <v>0</v>
      </c>
      <c r="CC12" s="45" t="s">
        <v>4087</v>
      </c>
      <c r="CL12" s="45" t="s">
        <v>4354</v>
      </c>
      <c r="CM12" s="23">
        <f>IF(Application!C321=6,1,0)</f>
        <v>0</v>
      </c>
      <c r="CN12" s="45" t="s">
        <v>1049</v>
      </c>
      <c r="CO12" s="23" t="b">
        <f>AND(Application!C364=1)</f>
        <v>1</v>
      </c>
      <c r="CS12" s="29" t="s">
        <v>3691</v>
      </c>
      <c r="CT12" s="23">
        <f>IF(Application!C319=1,99,IF(OR(Application!C319=2,Application!C319=3),0,IF(CT11=-1,99,IF(Application!C319&lt;4,0,Inputs!CT11))))</f>
        <v>99</v>
      </c>
      <c r="DW12" s="23">
        <f>IF(Application!C311=2,9,IF(Application!C311=3,8,IF(Application!C311=4,2,IF(Application!C311=5,10,IF(Application!C311=6,11,IF(Application!C311=7,12,IF(Application!C311=8,13,0)))))))</f>
        <v>0</v>
      </c>
    </row>
    <row r="13" spans="1:148">
      <c r="V13" s="23">
        <f>CODE(9)</f>
        <v>57</v>
      </c>
      <c r="AX13" s="45" t="s">
        <v>3448</v>
      </c>
      <c r="AY13" s="23" t="b">
        <f>AND(Application!C311=11,Application!C307&gt;7,Application!C312=2)</f>
        <v>0</v>
      </c>
      <c r="CC13" s="45" t="s">
        <v>4081</v>
      </c>
      <c r="CD13" s="22" t="b">
        <f>AND(Application!D113&gt;0,Application!D114&gt;0,Application!D115&gt;0,Application!D116&gt;0)</f>
        <v>0</v>
      </c>
      <c r="CL13" s="45" t="s">
        <v>3933</v>
      </c>
      <c r="CM13" s="23">
        <f>IF(Application!C321=5,1,0)</f>
        <v>0</v>
      </c>
      <c r="CS13" s="29"/>
      <c r="DW13" s="23">
        <f>IF(Application!C311=9,1,IF(Application!C311=10,4,IF(Application!C311=11,3,IF(Application!C311=12,5,IF(Application!C311=13,6,IF(Application!C311=14,7,IF(Application!C311=14,14,0)))))))</f>
        <v>0</v>
      </c>
    </row>
    <row r="14" spans="1:148">
      <c r="Y14" s="29"/>
      <c r="AX14" s="45" t="s">
        <v>3449</v>
      </c>
      <c r="AY14" s="46" t="b">
        <f>AND(OR(Application!C311=11,Application!C311=12),Application!C312=3,Application!C307&gt;7)</f>
        <v>0</v>
      </c>
      <c r="CC14" s="45" t="s">
        <v>4080</v>
      </c>
      <c r="CD14" s="22">
        <f>IF(Application!F115&lt;0.1,0,1)</f>
        <v>0</v>
      </c>
      <c r="CL14" s="45" t="s">
        <v>3934</v>
      </c>
      <c r="CM14" s="23">
        <f>IF(Application!C321=4,1,0)</f>
        <v>0</v>
      </c>
      <c r="CS14" s="29"/>
      <c r="DZ14" s="23" t="e">
        <f>CODE(Application!C230)</f>
        <v>#VALUE!</v>
      </c>
    </row>
    <row r="15" spans="1:148">
      <c r="Y15" s="29"/>
      <c r="AX15" s="45" t="s">
        <v>3450</v>
      </c>
      <c r="AY15" s="46" t="b">
        <f>AND(Application!C307&gt;7,Application!C311=10,Application!C312=3)</f>
        <v>0</v>
      </c>
      <c r="CC15" s="45" t="s">
        <v>4082</v>
      </c>
      <c r="CD15" s="22" t="str">
        <f>IF(Application!F116&gt;Application!F115,"TRUE","FALSE")</f>
        <v>FALSE</v>
      </c>
      <c r="CL15" s="45" t="s">
        <v>3765</v>
      </c>
      <c r="CM15" s="23">
        <f>IF(Application!C321=3,1,0)</f>
        <v>0</v>
      </c>
    </row>
    <row r="16" spans="1:148">
      <c r="Y16" s="29"/>
      <c r="AX16" s="45" t="s">
        <v>3451</v>
      </c>
      <c r="AY16" s="23" t="b">
        <f>AND(Application!C311=9,Application!C312=3,Application!C307&gt;7)</f>
        <v>0</v>
      </c>
      <c r="CL16" s="45" t="s">
        <v>3936</v>
      </c>
      <c r="CM16" s="23">
        <f>IF(Application!C321=2,1,0)</f>
        <v>0</v>
      </c>
      <c r="CS16" s="45"/>
    </row>
    <row r="17" spans="22:91">
      <c r="Y17" s="29"/>
      <c r="AX17" s="45" t="s">
        <v>4208</v>
      </c>
      <c r="AY17" s="23" t="b">
        <f>AND(Application!C311=6,Application!C312=3,Application!C307&gt;7)</f>
        <v>0</v>
      </c>
      <c r="CL17" s="45" t="s">
        <v>3935</v>
      </c>
      <c r="CM17" s="23">
        <f>IF(Application!C321=8,1,0)</f>
        <v>0</v>
      </c>
    </row>
    <row r="18" spans="22:91">
      <c r="V18" s="23" t="e">
        <f>CODE(Application!C231)</f>
        <v>#VALUE!</v>
      </c>
      <c r="Y18" s="29"/>
      <c r="AX18" s="45" t="s">
        <v>3702</v>
      </c>
      <c r="AY18" s="23" t="b">
        <f>AND(Application!C311=4,Application!C312=3,Application!C307&gt;7)</f>
        <v>0</v>
      </c>
      <c r="CC18" s="45" t="s">
        <v>4083</v>
      </c>
      <c r="CM18" s="23">
        <f>SUM(CM11:CM17)</f>
        <v>0</v>
      </c>
    </row>
    <row r="19" spans="22:91">
      <c r="Y19" s="29"/>
      <c r="AX19" s="45" t="s">
        <v>3703</v>
      </c>
      <c r="AY19" s="23" t="b">
        <f>AND(Application!C311=5,Application!C312=3,Application!C307&gt;7)</f>
        <v>0</v>
      </c>
      <c r="CC19" s="45" t="s">
        <v>4084</v>
      </c>
      <c r="CD19" s="22">
        <f>IF(CD8=TRUE,IF(CD9=0,IF(Application!F112&gt;Application!F111,ROUND(Application!F112,2),0),0),0)</f>
        <v>0</v>
      </c>
    </row>
    <row r="20" spans="22:91">
      <c r="Y20" s="29"/>
      <c r="AX20" s="45" t="s">
        <v>3452</v>
      </c>
      <c r="AY20" s="23" t="b">
        <f>AND(Application!C311=7,Application!C312=3,Application!C307&gt;7)</f>
        <v>0</v>
      </c>
      <c r="CC20" s="45" t="s">
        <v>4085</v>
      </c>
      <c r="CD20" s="22">
        <f>IF(CD8=FALSE,IF(CD9=1,IF(Application!F112&lt;Application!F111,Application!F111),0),0)</f>
        <v>0</v>
      </c>
    </row>
    <row r="21" spans="22:91">
      <c r="Y21" s="29"/>
      <c r="AX21" s="45" t="s">
        <v>3453</v>
      </c>
      <c r="AY21" s="23" t="b">
        <f>AND(Application!C311=8,Application!C312=3,Application!C307&gt;7)</f>
        <v>0</v>
      </c>
      <c r="CC21" s="45" t="s">
        <v>4090</v>
      </c>
      <c r="CD21" s="22">
        <f>IF(CD8=TRUE,IF(Application!F112&gt;Application!F111,ROUND(Application!F112,2),0),0)</f>
        <v>0</v>
      </c>
    </row>
    <row r="22" spans="22:91">
      <c r="Y22" s="29"/>
      <c r="AX22" s="45" t="s">
        <v>3454</v>
      </c>
      <c r="AY22" s="23" t="b">
        <f>AND(OR(Application!C311=2,Application!C311=3,),Application!C312=3,Application!C307&gt;7)</f>
        <v>0</v>
      </c>
      <c r="CC22" s="45" t="s">
        <v>4086</v>
      </c>
      <c r="CD22" s="22">
        <f>IF(CD8=TRUE,IF(Application!F112&lt;Application!F111,ROUND(Application!F111,2),0),0)</f>
        <v>0</v>
      </c>
    </row>
    <row r="23" spans="22:91">
      <c r="AX23" s="45" t="s">
        <v>954</v>
      </c>
      <c r="AY23" s="23" t="b">
        <f>OR(Application!C307=15,Application!C311&gt;12)</f>
        <v>0</v>
      </c>
    </row>
    <row r="24" spans="22:91">
      <c r="AX24" s="45" t="s">
        <v>2945</v>
      </c>
      <c r="AY24" s="23" t="b">
        <f>AND(OR(Application!C307=8,Application!C307=9,Application!C307=10),Application!C311=11,OR(Application!C312=1,Application!C312=5))</f>
        <v>0</v>
      </c>
      <c r="CC24" s="45" t="s">
        <v>4087</v>
      </c>
    </row>
    <row r="25" spans="22:91">
      <c r="AX25" s="45" t="s">
        <v>2946</v>
      </c>
      <c r="AY25" s="23" t="b">
        <f>AND(OR(Application!C307=8,Application!C307=9,Application!C307=10),Application!C311=12,OR(Application!C312=1,Application!C312=5))</f>
        <v>0</v>
      </c>
      <c r="CC25" s="45" t="s">
        <v>4084</v>
      </c>
      <c r="CD25" s="22">
        <f>IF(CD13=TRUE,IF(CD14=0,IF(Application!F116&gt;Application!F115,ROUND(Application!F116,2),0),0),0)</f>
        <v>0</v>
      </c>
    </row>
    <row r="26" spans="22:91">
      <c r="AX26" s="45" t="s">
        <v>3280</v>
      </c>
      <c r="AY26" s="23" t="b">
        <f>AND(OR(Application!C307=8,Application!C307=9,Application!C307=10),Application!C311=10,OR(Application!C312=1,Application!C312=5))</f>
        <v>0</v>
      </c>
      <c r="CC26" s="45" t="s">
        <v>4085</v>
      </c>
      <c r="CD26" s="22">
        <f>IF(CD13=FALSE,IF(CD14=1,IF(Application!F116&lt;Application!F115,Application!F115),0),0)</f>
        <v>0</v>
      </c>
    </row>
    <row r="27" spans="22:91">
      <c r="CC27" s="45" t="s">
        <v>4086</v>
      </c>
      <c r="CD27" s="22">
        <f>IF(CD13=TRUE,IF(Application!F116&gt;Application!F115,ROUND(Application!F116,2),0),0)</f>
        <v>0</v>
      </c>
    </row>
    <row r="28" spans="22:91">
      <c r="AX28" s="45" t="s">
        <v>2945</v>
      </c>
      <c r="AY28" s="23" t="b">
        <f>OR(AY13=TRUE,AY24=TRUE)</f>
        <v>0</v>
      </c>
      <c r="CC28" s="45" t="s">
        <v>4090</v>
      </c>
      <c r="CD28" s="22">
        <f>IF(CD13=TRUE,IF(Application!F938&lt;Application!F115,ROUND(Application!F115,2),0),0)</f>
        <v>0</v>
      </c>
    </row>
    <row r="29" spans="22:91">
      <c r="AX29" s="45" t="s">
        <v>2946</v>
      </c>
      <c r="AY29" s="23" t="b">
        <f>OR(AY14=TRUE,AY25=TRUE)</f>
        <v>0</v>
      </c>
    </row>
    <row r="30" spans="22:91">
      <c r="AX30" s="45" t="s">
        <v>3280</v>
      </c>
      <c r="AY30" s="23" t="b">
        <f>OR(AY15=TRUE,AY26=TRUE)</f>
        <v>0</v>
      </c>
      <c r="CC30" s="45" t="s">
        <v>4088</v>
      </c>
      <c r="CD30" s="22">
        <f>MAX(CD19:CD28)</f>
        <v>0</v>
      </c>
    </row>
    <row r="32" spans="22:91">
      <c r="AY32" s="23">
        <f>IF(AY9=TRUE,3,IF(AY10=TRUE,4,IF(AY11=TRUE,5,IF(AY12=TRUE,6,IF(AY28=TRUE,7,IF(AY29=TRUE,8,IF(AY30=TRUE,9,0)))))))</f>
        <v>0</v>
      </c>
    </row>
    <row r="33" spans="10:53">
      <c r="AY33" s="23">
        <f>IF(AY16=TRUE,10,IF(AY17=TRUE,11,IF(AY18=TRUE,12,IF(AY19=TRUE,12.5,IF(AY20=TRUE,13,IF(AY21=TRUE,14,IF(AY22=TRUE,15,IF(AY23=TRUE,99,0))))))))</f>
        <v>0</v>
      </c>
    </row>
    <row r="34" spans="10:53">
      <c r="J34" s="23" t="b">
        <v>1</v>
      </c>
    </row>
    <row r="35" spans="10:53">
      <c r="J35" s="23" t="b">
        <v>1</v>
      </c>
    </row>
    <row r="37" spans="10:53">
      <c r="AY37" s="45" t="s">
        <v>955</v>
      </c>
      <c r="AZ37" s="23" t="b">
        <f>AND(Application!C311&gt;3,OR(Application!C312=1,Application!C312=5))</f>
        <v>0</v>
      </c>
    </row>
    <row r="38" spans="10:53">
      <c r="AY38" s="45" t="s">
        <v>956</v>
      </c>
      <c r="AZ38" s="23" t="b">
        <f>OR(Application!C312=2,Application!C312=3)</f>
        <v>0</v>
      </c>
    </row>
    <row r="39" spans="10:53">
      <c r="AY39" s="45" t="s">
        <v>957</v>
      </c>
      <c r="AZ39" s="23" t="b">
        <f>AND(Application!C311&gt;1,Application!C311&lt;4,OR(Application!C312=1,Application!C312=5))</f>
        <v>0</v>
      </c>
    </row>
    <row r="41" spans="10:53">
      <c r="AZ41" s="45" t="s">
        <v>141</v>
      </c>
      <c r="BA41" s="23" t="b">
        <f>AND(Application!C325&lt;&gt;2,Application!E172=0)</f>
        <v>1</v>
      </c>
    </row>
    <row r="42" spans="10:53">
      <c r="AZ42" s="45" t="s">
        <v>958</v>
      </c>
      <c r="BA42" s="23" t="b">
        <f>AND(Application!C325=2,Application!E172=0)</f>
        <v>0</v>
      </c>
    </row>
    <row r="43" spans="10:53">
      <c r="AZ43" s="45" t="s">
        <v>959</v>
      </c>
      <c r="BA43" s="23" t="b">
        <f>AND(Application!C325&lt;&gt;2,Application!E172&gt;0,Application!C306=10)</f>
        <v>0</v>
      </c>
    </row>
    <row r="44" spans="10:53">
      <c r="AZ44" s="45" t="s">
        <v>960</v>
      </c>
      <c r="BA44" s="23" t="b">
        <f>AND(Application!C325=2,Application!E172&gt;0,Application!C306=10)</f>
        <v>0</v>
      </c>
    </row>
  </sheetData>
  <sheetProtection password="C620" sheet="1"/>
  <phoneticPr fontId="19"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Y30"/>
  <sheetViews>
    <sheetView workbookViewId="0">
      <pane xSplit="2" ySplit="1" topLeftCell="C2" activePane="bottomRight" state="frozen"/>
      <selection pane="topRight" activeCell="C1" sqref="C1"/>
      <selection pane="bottomLeft" activeCell="A2" sqref="A2"/>
      <selection pane="bottomRight" activeCell="N18" sqref="N18"/>
    </sheetView>
  </sheetViews>
  <sheetFormatPr defaultRowHeight="12.75"/>
  <cols>
    <col min="1" max="1" width="9.140625" style="180"/>
    <col min="2" max="2" width="10.85546875" style="180" bestFit="1" customWidth="1"/>
    <col min="3" max="3" width="9.140625" style="180"/>
    <col min="4" max="4" width="7.7109375" style="180" bestFit="1" customWidth="1"/>
    <col min="5" max="16384" width="9.140625" style="180"/>
  </cols>
  <sheetData>
    <row r="1" spans="1:25" s="190" customFormat="1">
      <c r="A1" s="190">
        <f>Application!H404</f>
        <v>1</v>
      </c>
      <c r="B1" s="190" t="s">
        <v>3287</v>
      </c>
      <c r="D1" s="190" t="str">
        <f>LOOKUP($A$1,'Lang Header'!$A$3:$A$8,'Lang Header'!D3:D8)</f>
        <v>SPINLOCK IRC RATING APPLICATION</v>
      </c>
      <c r="E1" s="190" t="str">
        <f>LOOKUP($A$1,'Lang Header'!$A$3:$A$8,'Lang Header'!E3:E8)</f>
        <v>Application for a certificate</v>
      </c>
      <c r="F1" s="190" t="str">
        <f>LOOKUP($A$1,'Lang Header'!$A$3:$A$8,'Lang Header'!F3:F8)</f>
        <v>Please select language:</v>
      </c>
      <c r="G1" s="190" t="str">
        <f>LOOKUP($A$1,'Lang Header'!$A$3:$A$8,'Lang Header'!G3:G8)</f>
        <v>PLEASE READ BEFORE COMPLETING FORM</v>
      </c>
      <c r="H1" s="190" t="str">
        <f>LOOKUP($A$1,'Lang Header'!$A$3:$A$8,'Lang Header'!H3:H8)</f>
        <v>Please DO NOT use this form for amendments or trials - use the appropriate separate form</v>
      </c>
      <c r="I1" s="190" t="str">
        <f>LOOKUP($A$1,'Lang Header'!$A$3:$A$8,'Lang Header'!I3:I8)</f>
        <v>1. Complete in METRES &amp; KILOGRAMMES. Default values may be used as shown if no details given</v>
      </c>
      <c r="J1" s="190" t="str">
        <f>LOOKUP($A$1,'Lang Header'!$A$3:$A$8,'Lang Header'!J3:J8)</f>
        <v>2. Please only enter value eg. 9.99  do not add "m" or "kg" as calculations will not work!</v>
      </c>
      <c r="K1" s="190" t="str">
        <f>LOOKUP($A$1,'Lang Header'!$A$3:$A$8,'Lang Header'!K3:K8)</f>
        <v>8. Put any additional notes in the space at the end of the form</v>
      </c>
      <c r="L1" s="190" t="str">
        <f>LOOKUP($A$1,'Lang Header'!$A$3:$A$8,'Lang Header'!L3:L8)</f>
        <v>3. Please leave any non-applicable cells blank, do not enter N/A.</v>
      </c>
      <c r="M1" s="190" t="str">
        <f>LOOKUP($A$1,'Lang Header'!$A$3:$A$8,'Lang Header'!M3:M8)</f>
        <v>Please refer to the VALIDATION SHEET for data checking before sending your form.</v>
      </c>
      <c r="N1" s="190" t="str">
        <f>LOOKUP($A$1,'Lang Header'!$A$3:$A$8,'Lang Header'!N3:N8)</f>
        <v>4. If this is a new design please attach profile/plan/sailplan drawings; we may request further information.</v>
      </c>
      <c r="O1" s="190" t="str">
        <f>LOOKUP($A$1,'Lang Header'!$A$3:$A$8,'Lang Header'!O3:O8)</f>
        <v>This form is setup to print just the 4 relevant pages, columns A-G, but we need all worksheets returned</v>
      </c>
      <c r="P1" s="190" t="str">
        <f>LOOKUP($A$1,'Lang Header'!$A$3:$A$8,'Lang Header'!P3:P8)</f>
        <v>See IRC website for rules and other technical information, before completing this form</v>
      </c>
      <c r="Q1" s="190" t="str">
        <f>LOOKUP($A$1,'Lang Header'!$A$3:$A$8,'Lang Header'!Q3:Q8)</f>
        <v>GBR boats - pay online through MyIRC at www.rorcrating.com and save money</v>
      </c>
      <c r="R1" s="190">
        <f>LOOKUP($A$1,'Lang Header'!$A$3:$A$8,'Lang Header'!R3:R8)</f>
        <v>0</v>
      </c>
      <c r="S1" s="190">
        <f>LOOKUP($A$1,'Lang Header'!$A$3:$A$8,'Lang Header'!S3:S8)</f>
        <v>0</v>
      </c>
      <c r="T1" s="190">
        <f>LOOKUP($A$1,'Lang Header'!$A$3:$A$8,'Lang Header'!T3:T8)</f>
        <v>0</v>
      </c>
      <c r="U1" s="190">
        <f>LOOKUP($A$1,'Lang Header'!$A$3:$A$8,'Lang Header'!U3:U8)</f>
        <v>0</v>
      </c>
      <c r="V1" s="190">
        <f>LOOKUP($A$1,'Lang Header'!$A$3:$A$8,'Lang Header'!V3:V8)</f>
        <v>0</v>
      </c>
      <c r="W1" s="190">
        <f>LOOKUP($A$1,'Lang Header'!$A$3:$A$8,'Lang Header'!W3:W8)</f>
        <v>0</v>
      </c>
      <c r="X1" s="190">
        <f>LOOKUP($A$1,'Lang Header'!$A$3:$A$8,'Lang Header'!X3:X8)</f>
        <v>0</v>
      </c>
      <c r="Y1" s="190">
        <f>LOOKUP($A$1,'Lang Header'!$A$3:$A$8,'Lang Header'!Y3:Y8)</f>
        <v>0</v>
      </c>
    </row>
    <row r="3" spans="1:25">
      <c r="A3" s="179">
        <v>1</v>
      </c>
      <c r="B3" s="179" t="s">
        <v>3288</v>
      </c>
      <c r="C3" s="179"/>
      <c r="D3" s="402" t="s">
        <v>4395</v>
      </c>
      <c r="E3" s="402" t="s">
        <v>4439</v>
      </c>
      <c r="F3" s="107" t="s">
        <v>2316</v>
      </c>
      <c r="G3" s="107" t="s">
        <v>222</v>
      </c>
      <c r="H3" s="59" t="s">
        <v>2944</v>
      </c>
      <c r="I3" s="107" t="s">
        <v>4206</v>
      </c>
      <c r="J3" s="107" t="s">
        <v>3417</v>
      </c>
      <c r="K3" s="107" t="s">
        <v>1417</v>
      </c>
      <c r="L3" s="107" t="s">
        <v>3885</v>
      </c>
      <c r="M3" s="402" t="s">
        <v>4679</v>
      </c>
      <c r="N3" s="107" t="s">
        <v>1995</v>
      </c>
      <c r="O3" s="107" t="s">
        <v>14</v>
      </c>
      <c r="P3" s="107" t="s">
        <v>4197</v>
      </c>
      <c r="Q3" s="107" t="s">
        <v>3391</v>
      </c>
    </row>
    <row r="4" spans="1:25" s="181" customFormat="1">
      <c r="A4" s="181">
        <v>2</v>
      </c>
      <c r="B4" s="181" t="s">
        <v>3289</v>
      </c>
      <c r="D4" s="407" t="s">
        <v>4396</v>
      </c>
      <c r="E4" s="407" t="s">
        <v>4440</v>
      </c>
      <c r="F4" s="182" t="s">
        <v>2031</v>
      </c>
      <c r="G4" s="182" t="s">
        <v>1532</v>
      </c>
      <c r="H4" s="107" t="s">
        <v>3300</v>
      </c>
      <c r="I4" s="182" t="s">
        <v>1533</v>
      </c>
      <c r="J4" s="182" t="s">
        <v>1534</v>
      </c>
      <c r="K4" s="182" t="s">
        <v>1493</v>
      </c>
      <c r="L4" s="182" t="s">
        <v>1535</v>
      </c>
      <c r="M4" s="407" t="s">
        <v>4680</v>
      </c>
      <c r="N4" s="182" t="s">
        <v>1536</v>
      </c>
      <c r="O4" s="182" t="s">
        <v>1537</v>
      </c>
      <c r="P4" s="182" t="s">
        <v>2834</v>
      </c>
      <c r="Q4" s="182" t="s">
        <v>2835</v>
      </c>
    </row>
    <row r="5" spans="1:25">
      <c r="A5" s="180">
        <v>3</v>
      </c>
      <c r="B5" s="180" t="s">
        <v>3290</v>
      </c>
      <c r="D5" s="107" t="s">
        <v>943</v>
      </c>
      <c r="E5" s="408" t="s">
        <v>4441</v>
      </c>
      <c r="F5" s="183" t="s">
        <v>1779</v>
      </c>
      <c r="G5" s="183" t="s">
        <v>1780</v>
      </c>
      <c r="H5" s="183" t="s">
        <v>1781</v>
      </c>
      <c r="I5" s="183" t="s">
        <v>1782</v>
      </c>
      <c r="J5" s="184" t="s">
        <v>3416</v>
      </c>
      <c r="K5" s="183" t="s">
        <v>1494</v>
      </c>
      <c r="L5" s="183" t="s">
        <v>3007</v>
      </c>
      <c r="M5" s="403" t="s">
        <v>4681</v>
      </c>
      <c r="N5" s="185" t="s">
        <v>3008</v>
      </c>
      <c r="O5" s="185" t="s">
        <v>1122</v>
      </c>
      <c r="P5" s="183" t="s">
        <v>3865</v>
      </c>
      <c r="Q5" s="183" t="s">
        <v>3009</v>
      </c>
    </row>
    <row r="6" spans="1:25">
      <c r="A6" s="180">
        <v>4</v>
      </c>
      <c r="B6" s="180" t="s">
        <v>3291</v>
      </c>
      <c r="D6" s="107" t="s">
        <v>943</v>
      </c>
      <c r="E6" s="107"/>
      <c r="F6" s="107"/>
      <c r="G6" s="107"/>
      <c r="H6" s="107"/>
      <c r="I6" s="107"/>
      <c r="J6" s="107"/>
      <c r="K6" s="107"/>
      <c r="L6" s="107"/>
      <c r="P6" s="107"/>
      <c r="Q6" s="107"/>
    </row>
    <row r="7" spans="1:25">
      <c r="A7" s="180">
        <v>5</v>
      </c>
      <c r="B7" s="180" t="s">
        <v>3292</v>
      </c>
      <c r="D7" s="107" t="s">
        <v>943</v>
      </c>
      <c r="E7" s="408" t="s">
        <v>4442</v>
      </c>
      <c r="F7" s="183" t="s">
        <v>2766</v>
      </c>
      <c r="G7" s="183" t="s">
        <v>2767</v>
      </c>
      <c r="H7" s="183" t="s">
        <v>2768</v>
      </c>
      <c r="I7" s="183" t="s">
        <v>3798</v>
      </c>
      <c r="J7" s="183" t="s">
        <v>3799</v>
      </c>
      <c r="K7" s="183" t="s">
        <v>1495</v>
      </c>
      <c r="L7" s="183" t="s">
        <v>1127</v>
      </c>
      <c r="M7" s="403" t="s">
        <v>4682</v>
      </c>
      <c r="N7" s="185" t="s">
        <v>1959</v>
      </c>
      <c r="O7" s="185" t="s">
        <v>13</v>
      </c>
      <c r="P7" s="183" t="s">
        <v>3866</v>
      </c>
      <c r="Q7" s="183" t="s">
        <v>2924</v>
      </c>
    </row>
    <row r="8" spans="1:25" s="189" customFormat="1" ht="13.5">
      <c r="A8" s="189">
        <v>6</v>
      </c>
      <c r="B8" s="189" t="s">
        <v>3204</v>
      </c>
      <c r="D8" s="189" t="s">
        <v>409</v>
      </c>
      <c r="E8" s="402" t="s">
        <v>4439</v>
      </c>
      <c r="F8" s="189" t="s">
        <v>410</v>
      </c>
      <c r="G8" s="189" t="s">
        <v>411</v>
      </c>
      <c r="H8" s="189" t="s">
        <v>412</v>
      </c>
      <c r="I8" s="189" t="s">
        <v>413</v>
      </c>
      <c r="J8" s="189" t="s">
        <v>1550</v>
      </c>
      <c r="K8" s="189" t="s">
        <v>1551</v>
      </c>
      <c r="L8" s="189" t="s">
        <v>1552</v>
      </c>
      <c r="M8" s="189" t="s">
        <v>4683</v>
      </c>
      <c r="N8" s="189" t="s">
        <v>1553</v>
      </c>
      <c r="O8" s="189" t="s">
        <v>1554</v>
      </c>
      <c r="P8" s="107" t="s">
        <v>3572</v>
      </c>
      <c r="Q8" s="107"/>
    </row>
    <row r="9" spans="1:25">
      <c r="N9" s="107"/>
      <c r="O9" s="107"/>
      <c r="P9" s="107"/>
      <c r="Q9" s="107"/>
      <c r="R9" s="107"/>
    </row>
    <row r="10" spans="1:25">
      <c r="N10" s="107"/>
      <c r="O10" s="107"/>
      <c r="P10" s="107"/>
      <c r="Q10" s="107"/>
      <c r="R10" s="107"/>
    </row>
    <row r="11" spans="1:25">
      <c r="M11" s="107"/>
      <c r="N11" s="107"/>
      <c r="O11" s="107"/>
      <c r="P11" s="107"/>
      <c r="Q11" s="107"/>
    </row>
    <row r="12" spans="1:25" s="190" customFormat="1">
      <c r="B12" s="190" t="s">
        <v>2836</v>
      </c>
      <c r="D12" s="190" t="str">
        <f>LOOKUP($A$1,'Lang Header'!$A$3:$A$8,'Lang Header'!D14:D19)</f>
        <v>5. For production designs, see Standard hulls sheet and www.ircrating.org.</v>
      </c>
      <c r="E12" s="190" t="str">
        <f>LOOKUP($A$1,'Lang Header'!$A$3:$A$8,'Lang Header'!E14:E19)</f>
        <v>6. Refer to Keel shapes sheet to define keel type.</v>
      </c>
      <c r="F12" s="190" t="str">
        <f>LOOKUP($A$1,'Lang Header'!$A$3:$A$8,'Lang Header'!F14:F19)</f>
        <v>7. Your sailmaker will almost certainly be able to supply sail data.</v>
      </c>
      <c r="G12" s="190" t="str">
        <f>LOOKUP($A$1,'Lang Header'!$A$3:$A$8,'Lang Header'!G14:G19)</f>
        <v>PLEASE READ NOTES AT RIGHT!</v>
      </c>
      <c r="H12" s="190" t="str">
        <f>LOOKUP($A$1,'Lang Header'!$A$3:$A$8,'Lang Header'!H14:H19)</f>
        <v>Colours below correspond with sheet tab colours</v>
      </c>
      <c r="I12" s="190" t="str">
        <f>LOOKUP($A$1,'Lang Header'!$A$3:$A$8,'Lang Header'!I14:I19)</f>
        <v>SECTION 1 - MEASUREMENTS</v>
      </c>
      <c r="J12" s="190" t="str">
        <f>LOOKUP($A$1,'Lang Header'!$A$3:$A$8,'Lang Header'!J14:J19)</f>
        <v>Measurement Definitions</v>
      </c>
      <c r="K12" s="190" t="str">
        <f>LOOKUP($A$1,'Lang Header'!$A$3:$A$8,'Lang Header'!K14:K19)</f>
        <v>IRC Rule text</v>
      </c>
      <c r="L12" s="190" t="str">
        <f>LOOKUP($A$1,'Lang Header'!$A$3:$A$8,'Lang Header'!L14:L19)</f>
        <v xml:space="preserve">Measurement drawings </v>
      </c>
      <c r="M12" s="190" t="str">
        <f>LOOKUP($A$1,'Lang Header'!$A$3:$A$8,'Lang Header'!M14:M19)</f>
        <v>eg.First 40, J97, Half Ton</v>
      </c>
      <c r="N12" s="190" t="str">
        <f>LOOKUP($A$1,'Lang Header'!$A$3:$A$8,'Lang Header'!N14:N19)</f>
        <v>eg. Custom, wing keel, tall rig</v>
      </c>
      <c r="O12" s="190" t="str">
        <f>LOOKUP($A$1,'Lang Header'!$A$3:$A$8,'Lang Header'!O14:O19)</f>
        <v>ALL BOATS</v>
      </c>
      <c r="P12" s="190" t="str">
        <f>LOOKUP($A$1,'Lang Header'!$A$3:$A$8,'Lang Header'!P14:P19)</f>
        <v>If not listed</v>
      </c>
      <c r="Q12" s="191"/>
    </row>
    <row r="13" spans="1:25">
      <c r="M13" s="107"/>
      <c r="N13" s="107"/>
      <c r="O13" s="107"/>
      <c r="P13" s="107"/>
      <c r="Q13" s="107"/>
    </row>
    <row r="14" spans="1:25" ht="12.75" customHeight="1">
      <c r="A14" s="180">
        <v>1</v>
      </c>
      <c r="B14" s="180" t="s">
        <v>3288</v>
      </c>
      <c r="D14" s="186" t="s">
        <v>414</v>
      </c>
      <c r="E14" s="186" t="s">
        <v>4191</v>
      </c>
      <c r="F14" s="186" t="s">
        <v>1996</v>
      </c>
      <c r="G14" s="119" t="s">
        <v>2252</v>
      </c>
      <c r="H14" s="269" t="s">
        <v>2474</v>
      </c>
      <c r="I14" s="269" t="s">
        <v>147</v>
      </c>
      <c r="J14" s="269" t="s">
        <v>4195</v>
      </c>
      <c r="K14" s="269" t="s">
        <v>4196</v>
      </c>
      <c r="L14" s="269" t="s">
        <v>4199</v>
      </c>
      <c r="M14" s="419" t="s">
        <v>4504</v>
      </c>
      <c r="N14" s="402" t="s">
        <v>2354</v>
      </c>
      <c r="O14" s="107" t="s">
        <v>2357</v>
      </c>
      <c r="P14" s="107" t="s">
        <v>2358</v>
      </c>
      <c r="Q14" s="107"/>
    </row>
    <row r="15" spans="1:25">
      <c r="A15" s="180">
        <v>2</v>
      </c>
      <c r="B15" s="180" t="s">
        <v>3289</v>
      </c>
      <c r="D15" s="186" t="s">
        <v>2194</v>
      </c>
      <c r="E15" s="186" t="s">
        <v>3226</v>
      </c>
      <c r="F15" s="186" t="s">
        <v>3227</v>
      </c>
      <c r="G15" s="182" t="s">
        <v>109</v>
      </c>
      <c r="H15" s="178" t="s">
        <v>2193</v>
      </c>
      <c r="I15" s="305" t="s">
        <v>147</v>
      </c>
      <c r="J15" s="2" t="s">
        <v>55</v>
      </c>
      <c r="K15" s="2" t="s">
        <v>3569</v>
      </c>
      <c r="L15" s="2" t="s">
        <v>1920</v>
      </c>
      <c r="M15" s="419" t="s">
        <v>4711</v>
      </c>
      <c r="N15" s="402" t="s">
        <v>4713</v>
      </c>
      <c r="O15" s="307" t="s">
        <v>2357</v>
      </c>
      <c r="P15" s="307" t="s">
        <v>2358</v>
      </c>
      <c r="Q15" s="107"/>
    </row>
    <row r="16" spans="1:25">
      <c r="A16" s="180">
        <v>3</v>
      </c>
      <c r="B16" s="180" t="s">
        <v>3290</v>
      </c>
      <c r="D16" s="186" t="s">
        <v>926</v>
      </c>
      <c r="E16" s="186" t="s">
        <v>927</v>
      </c>
      <c r="F16" s="186" t="s">
        <v>928</v>
      </c>
      <c r="G16" s="188" t="s">
        <v>929</v>
      </c>
      <c r="H16" s="178" t="s">
        <v>1539</v>
      </c>
      <c r="I16" s="305" t="s">
        <v>147</v>
      </c>
      <c r="J16" s="2" t="s">
        <v>1934</v>
      </c>
      <c r="K16" s="2" t="s">
        <v>1935</v>
      </c>
      <c r="L16" s="2" t="s">
        <v>1936</v>
      </c>
      <c r="M16" s="419" t="s">
        <v>4712</v>
      </c>
      <c r="N16" s="402" t="s">
        <v>4714</v>
      </c>
      <c r="O16" s="307" t="s">
        <v>2357</v>
      </c>
      <c r="P16" s="307" t="s">
        <v>2358</v>
      </c>
      <c r="Q16" s="107"/>
    </row>
    <row r="17" spans="1:16">
      <c r="A17" s="180">
        <v>4</v>
      </c>
      <c r="B17" s="180" t="s">
        <v>3291</v>
      </c>
      <c r="E17" s="187"/>
      <c r="F17" s="187"/>
      <c r="G17" s="187"/>
      <c r="I17" s="187"/>
      <c r="M17" s="419"/>
      <c r="N17" s="107"/>
      <c r="O17" s="307"/>
      <c r="P17" s="307"/>
    </row>
    <row r="18" spans="1:16">
      <c r="A18" s="180">
        <v>5</v>
      </c>
      <c r="B18" s="180" t="s">
        <v>3292</v>
      </c>
      <c r="D18" s="186" t="s">
        <v>2259</v>
      </c>
      <c r="E18" s="186" t="s">
        <v>2260</v>
      </c>
      <c r="F18" s="186" t="s">
        <v>4295</v>
      </c>
      <c r="G18" s="188" t="s">
        <v>4296</v>
      </c>
      <c r="H18" s="178" t="s">
        <v>930</v>
      </c>
      <c r="I18" s="305" t="s">
        <v>147</v>
      </c>
      <c r="J18" s="2" t="s">
        <v>38</v>
      </c>
      <c r="K18" s="2" t="s">
        <v>39</v>
      </c>
      <c r="L18" s="378" t="s">
        <v>40</v>
      </c>
      <c r="M18" s="677" t="s">
        <v>4504</v>
      </c>
      <c r="N18" s="458" t="s">
        <v>2354</v>
      </c>
      <c r="O18" s="307" t="s">
        <v>2357</v>
      </c>
      <c r="P18" s="307" t="s">
        <v>2358</v>
      </c>
    </row>
    <row r="19" spans="1:16" s="189" customFormat="1" ht="13.5">
      <c r="A19" s="189">
        <v>6</v>
      </c>
      <c r="B19" s="189" t="s">
        <v>3204</v>
      </c>
      <c r="D19" s="186" t="s">
        <v>3573</v>
      </c>
      <c r="E19" s="186" t="s">
        <v>3574</v>
      </c>
      <c r="F19" s="186" t="s">
        <v>3575</v>
      </c>
      <c r="G19" s="189" t="s">
        <v>3576</v>
      </c>
      <c r="H19" s="189" t="s">
        <v>3577</v>
      </c>
      <c r="I19" s="305" t="s">
        <v>147</v>
      </c>
      <c r="J19" s="189" t="s">
        <v>1784</v>
      </c>
      <c r="K19" s="189" t="s">
        <v>1785</v>
      </c>
      <c r="L19" s="189" t="s">
        <v>1786</v>
      </c>
      <c r="M19" s="419" t="s">
        <v>4504</v>
      </c>
      <c r="N19" s="107" t="s">
        <v>2354</v>
      </c>
      <c r="O19" s="307" t="s">
        <v>2357</v>
      </c>
      <c r="P19" s="307" t="s">
        <v>1940</v>
      </c>
    </row>
    <row r="20" spans="1:16">
      <c r="E20" s="187"/>
      <c r="F20" s="187"/>
      <c r="G20" s="187"/>
      <c r="H20" s="187"/>
      <c r="I20" s="187"/>
    </row>
    <row r="21" spans="1:16">
      <c r="D21" s="187"/>
      <c r="E21" s="187"/>
      <c r="F21" s="187"/>
      <c r="G21" s="187"/>
      <c r="H21" s="187"/>
      <c r="I21" s="187"/>
    </row>
    <row r="23" spans="1:16">
      <c r="G23" s="119"/>
      <c r="J23" s="119"/>
      <c r="K23" s="119"/>
    </row>
    <row r="24" spans="1:16">
      <c r="F24" s="119"/>
      <c r="G24" s="119"/>
      <c r="H24" s="119"/>
      <c r="I24" s="119"/>
      <c r="J24" s="119"/>
      <c r="K24" s="119"/>
    </row>
    <row r="25" spans="1:16">
      <c r="F25" s="119"/>
      <c r="G25" s="119"/>
      <c r="H25" s="119"/>
      <c r="I25" s="119"/>
      <c r="J25" s="119"/>
      <c r="K25" s="119"/>
    </row>
    <row r="26" spans="1:16">
      <c r="F26" s="119"/>
      <c r="I26" s="119"/>
      <c r="J26" s="119"/>
      <c r="K26" s="119"/>
    </row>
    <row r="27" spans="1:16">
      <c r="F27" s="119"/>
      <c r="G27" s="119"/>
      <c r="H27" s="119"/>
      <c r="I27" s="119"/>
      <c r="J27" s="119"/>
      <c r="K27" s="119"/>
    </row>
    <row r="28" spans="1:16">
      <c r="H28" s="119"/>
      <c r="I28" s="119"/>
      <c r="J28" s="119"/>
      <c r="K28" s="119"/>
    </row>
    <row r="29" spans="1:16">
      <c r="H29" s="119"/>
      <c r="I29" s="119"/>
      <c r="J29" s="119"/>
      <c r="K29" s="119"/>
    </row>
    <row r="30" spans="1:16">
      <c r="H30" s="119"/>
      <c r="I30" s="119"/>
      <c r="J30" s="119"/>
      <c r="K30" s="119"/>
    </row>
  </sheetData>
  <sheetProtection password="C620" sheet="1"/>
  <phoneticPr fontId="19"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Y18"/>
  <sheetViews>
    <sheetView workbookViewId="0">
      <selection activeCell="E9" sqref="E9"/>
    </sheetView>
  </sheetViews>
  <sheetFormatPr defaultRowHeight="12.75"/>
  <cols>
    <col min="1" max="3" width="9.140625" style="199"/>
    <col min="4" max="4" width="27.42578125" style="49" bestFit="1" customWidth="1"/>
    <col min="5" max="6" width="9.140625" style="49"/>
    <col min="7" max="9" width="9.140625" style="180"/>
    <col min="10" max="10" width="26.28515625" style="180" customWidth="1"/>
    <col min="11" max="11" width="27.28515625" style="180" customWidth="1"/>
    <col min="12" max="16" width="9.140625" style="180"/>
    <col min="17" max="17" width="6.140625" style="180" customWidth="1"/>
    <col min="18" max="18" width="16.5703125" style="180" bestFit="1" customWidth="1"/>
    <col min="19" max="21" width="9.140625" style="180"/>
    <col min="22" max="22" width="28.7109375" style="180" customWidth="1"/>
    <col min="23" max="16384" width="9.140625" style="180"/>
  </cols>
  <sheetData>
    <row r="1" spans="1:25" s="190" customFormat="1">
      <c r="A1" s="190">
        <f>Application!H404</f>
        <v>1</v>
      </c>
      <c r="B1" s="190" t="s">
        <v>3287</v>
      </c>
      <c r="D1" s="190" t="str">
        <f>LOOKUP($A$1,'Lang Boat'!$A$3:$A$8,'Lang Boat'!D3:D8)</f>
        <v>PART 1 - ALL BOATS</v>
      </c>
      <c r="E1" s="190" t="str">
        <f>LOOKUP($A$1,'Lang Boat'!$A$3:$A$8,'Lang Boat'!E3:E8)</f>
        <v>PART 2 - the owner is reponsible for declaring these features</v>
      </c>
      <c r="F1" s="190" t="str">
        <f>LOOKUP($A$1,'Lang Boat'!$A$3:$A$8,'Lang Boat'!F3:F8)</f>
        <v>PART 3 - ALL BOATS</v>
      </c>
      <c r="G1" s="190" t="str">
        <f>LOOKUP($A$1,'Lang Boat'!$A$3:$A$8,'Lang Boat'!G3:G8)</f>
        <v>Boat Name</v>
      </c>
      <c r="H1" s="190" t="str">
        <f>LOOKUP($A$1,'Lang Boat'!$A$3:$A$8,'Lang Boat'!H3:H8)</f>
        <v>Sail number</v>
      </c>
      <c r="I1" s="190" t="str">
        <f>LOOKUP($A$1,'Lang Boat'!$A$3:$A$8,'Lang Boat'!I3:I8)</f>
        <v>Please enter letters &amp; numbers without spaces</v>
      </c>
      <c r="J1" s="190" t="str">
        <f>LOOKUP($A$1,'Lang Boat'!$A$3:$A$8,'Lang Boat'!J3:J8)</f>
        <v>If the boat held a previous IRC or CHS Certificate</v>
      </c>
      <c r="K1" s="190" t="str">
        <f>LOOKUP($A$1,'Lang Boat'!$A$3:$A$8,'Lang Boat'!K3:K8)</f>
        <v>Previous certificate number</v>
      </c>
      <c r="L1" s="190" t="str">
        <f>LOOKUP($A$1,'Lang Boat'!$A$3:$A$8,'Lang Boat'!L3:L8)</f>
        <v>Design Class</v>
      </c>
      <c r="M1" s="190" t="str">
        <f>LOOKUP($A$1,'Lang Boat'!$A$3:$A$8,'Lang Boat'!M3:M8)</f>
        <v>Version</v>
      </c>
      <c r="N1" s="190" t="str">
        <f>LOOKUP($A$1,'Lang Boat'!$A$3:$A$8,'Lang Boat'!N3:N8)</f>
        <v>Hull No.</v>
      </c>
      <c r="O1" s="190" t="str">
        <f>LOOKUP($A$1,'Lang Boat'!$A$3:$A$8,'Lang Boat'!O3:O8)</f>
        <v>Modified?</v>
      </c>
      <c r="P1" s="190" t="str">
        <f>LOOKUP($A$1,'Lang Boat'!$A$3:$A$8,'Lang Boat'!P3:P8)</f>
        <v>Series date</v>
      </c>
      <c r="Q1" s="190" t="str">
        <f>LOOKUP($A$1,'Lang Boat'!$A$3:$A$8,'Lang Boat'!Q3:Q8)</f>
        <v>(YYYY)</v>
      </c>
      <c r="R1" s="190" t="str">
        <f>LOOKUP($A$1,'Lang Boat'!$A$3:$A$8,'Lang Boat'!R3:R8)</f>
        <v>Age date</v>
      </c>
      <c r="S1" s="190" t="str">
        <f>LOOKUP($A$1,'Lang Boat'!$A$3:$A$8,'Lang Boat'!S3:S8)</f>
        <v>Designer</v>
      </c>
      <c r="T1" s="190" t="str">
        <f>LOOKUP($A$1,'Lang Boat'!$A$3:$A$8,'Lang Boat'!T3:T8)</f>
        <v>Builder</v>
      </c>
      <c r="U1" s="190" t="str">
        <f>LOOKUP($A$1,'Lang Boat'!$A$3:$A$8,'Lang Boat'!U3:U8)</f>
        <v>FULL sail no: letters &amp; numbers without spaces</v>
      </c>
      <c r="V1" s="190" t="str">
        <f>LOOKUP($A$1,'Lang Boat'!$A$3:$A$8,'Lang Boat'!V3:V8)</f>
        <v>Year first boat of design launched</v>
      </c>
      <c r="W1" s="190" t="str">
        <f>LOOKUP($A$1,'Lang Boat'!$A$3:$A$8,'Lang Boat'!W3:W8)</f>
        <v>Year boat first launched in current form</v>
      </c>
      <c r="X1" s="190" t="str">
        <f>LOOKUP($A$1,'Lang Boat'!$A$3:$A$8,'Lang Boat'!X3:X8)</f>
        <v>If your boat's design is not in the lists above, please give Design Class and details here:</v>
      </c>
      <c r="Y1" s="190" t="str">
        <f>LOOKUP($A$1,'Lang Boat'!$A$3:$A$8,'Lang Boat'!Y3:Y8)</f>
        <v>To be completed by all boats:</v>
      </c>
    </row>
    <row r="3" spans="1:25">
      <c r="A3" s="180">
        <v>1</v>
      </c>
      <c r="B3" s="180" t="s">
        <v>3288</v>
      </c>
      <c r="C3" s="180"/>
      <c r="D3" s="15" t="s">
        <v>4508</v>
      </c>
      <c r="E3" s="15" t="s">
        <v>4641</v>
      </c>
      <c r="F3" s="15" t="s">
        <v>4647</v>
      </c>
      <c r="G3" s="14" t="s">
        <v>3234</v>
      </c>
      <c r="H3" s="14" t="s">
        <v>3260</v>
      </c>
      <c r="I3" s="200" t="s">
        <v>944</v>
      </c>
      <c r="J3" s="14" t="s">
        <v>4485</v>
      </c>
      <c r="K3" s="14" t="s">
        <v>4484</v>
      </c>
      <c r="L3" s="14" t="s">
        <v>4075</v>
      </c>
      <c r="M3" s="14" t="s">
        <v>1570</v>
      </c>
      <c r="N3" s="80" t="s">
        <v>1567</v>
      </c>
      <c r="O3" s="62" t="s">
        <v>896</v>
      </c>
      <c r="P3" s="15" t="s">
        <v>426</v>
      </c>
      <c r="Q3" s="15" t="s">
        <v>4494</v>
      </c>
      <c r="R3" s="15" t="s">
        <v>2356</v>
      </c>
      <c r="S3" s="15" t="s">
        <v>900</v>
      </c>
      <c r="T3" s="193" t="s">
        <v>903</v>
      </c>
      <c r="U3" s="200" t="s">
        <v>4483</v>
      </c>
      <c r="V3" s="15" t="s">
        <v>4198</v>
      </c>
      <c r="W3" s="15" t="s">
        <v>2875</v>
      </c>
      <c r="X3" s="15" t="s">
        <v>2353</v>
      </c>
      <c r="Y3" s="15" t="s">
        <v>2352</v>
      </c>
    </row>
    <row r="4" spans="1:25">
      <c r="A4" s="180">
        <v>2</v>
      </c>
      <c r="B4" s="180" t="s">
        <v>3289</v>
      </c>
      <c r="C4" s="180"/>
      <c r="D4" s="14" t="s">
        <v>4509</v>
      </c>
      <c r="E4" s="14" t="s">
        <v>4773</v>
      </c>
      <c r="F4" s="14" t="s">
        <v>4648</v>
      </c>
      <c r="G4" s="14" t="s">
        <v>3859</v>
      </c>
      <c r="H4" s="14" t="s">
        <v>932</v>
      </c>
      <c r="I4" s="182" t="s">
        <v>110</v>
      </c>
      <c r="J4" s="465" t="s">
        <v>4487</v>
      </c>
      <c r="K4" s="465" t="s">
        <v>4486</v>
      </c>
      <c r="L4" s="14" t="s">
        <v>415</v>
      </c>
      <c r="M4" s="194" t="s">
        <v>1570</v>
      </c>
      <c r="N4" s="194" t="s">
        <v>3309</v>
      </c>
      <c r="O4" s="194" t="s">
        <v>3301</v>
      </c>
      <c r="P4" s="407" t="s">
        <v>4505</v>
      </c>
      <c r="Q4" s="407" t="s">
        <v>4495</v>
      </c>
      <c r="R4" s="182" t="s">
        <v>111</v>
      </c>
      <c r="S4" s="194" t="s">
        <v>3302</v>
      </c>
      <c r="T4" s="194" t="s">
        <v>3308</v>
      </c>
      <c r="U4" s="200" t="s">
        <v>4698</v>
      </c>
      <c r="V4" s="15" t="s">
        <v>4715</v>
      </c>
      <c r="W4" s="15" t="s">
        <v>4700</v>
      </c>
      <c r="X4" s="15" t="s">
        <v>4709</v>
      </c>
    </row>
    <row r="5" spans="1:25">
      <c r="A5" s="180">
        <v>3</v>
      </c>
      <c r="B5" s="180" t="s">
        <v>3290</v>
      </c>
      <c r="C5" s="180"/>
      <c r="D5" s="177" t="s">
        <v>4510</v>
      </c>
      <c r="E5" s="177" t="s">
        <v>4774</v>
      </c>
      <c r="F5" s="177" t="s">
        <v>4649</v>
      </c>
      <c r="G5" s="201" t="s">
        <v>3010</v>
      </c>
      <c r="H5" s="201" t="s">
        <v>3011</v>
      </c>
      <c r="I5" s="202" t="s">
        <v>3012</v>
      </c>
      <c r="J5" s="403" t="s">
        <v>4489</v>
      </c>
      <c r="K5" s="403" t="s">
        <v>4488</v>
      </c>
      <c r="L5" s="201" t="s">
        <v>3013</v>
      </c>
      <c r="M5" s="185" t="s">
        <v>3014</v>
      </c>
      <c r="N5" s="185" t="s">
        <v>3015</v>
      </c>
      <c r="O5" s="185" t="s">
        <v>3016</v>
      </c>
      <c r="P5" s="403" t="s">
        <v>4506</v>
      </c>
      <c r="Q5" s="403" t="s">
        <v>4496</v>
      </c>
      <c r="R5" s="185" t="s">
        <v>3017</v>
      </c>
      <c r="S5" s="185" t="s">
        <v>3018</v>
      </c>
      <c r="T5" s="185" t="s">
        <v>3019</v>
      </c>
      <c r="U5" s="200" t="s">
        <v>4699</v>
      </c>
      <c r="V5" s="15" t="s">
        <v>4716</v>
      </c>
      <c r="W5" s="15" t="s">
        <v>4701</v>
      </c>
      <c r="X5" s="15" t="s">
        <v>4710</v>
      </c>
    </row>
    <row r="6" spans="1:25">
      <c r="A6" s="180">
        <v>4</v>
      </c>
      <c r="B6" s="180" t="s">
        <v>3291</v>
      </c>
      <c r="C6" s="180"/>
      <c r="D6" s="15"/>
      <c r="E6" s="15"/>
      <c r="F6" s="15"/>
      <c r="G6" s="14"/>
      <c r="H6" s="14"/>
      <c r="I6" s="200"/>
      <c r="L6" s="14"/>
      <c r="V6" s="306"/>
      <c r="W6" s="306"/>
      <c r="X6" s="306"/>
    </row>
    <row r="7" spans="1:25">
      <c r="A7" s="180">
        <v>5</v>
      </c>
      <c r="B7" s="180" t="s">
        <v>3292</v>
      </c>
      <c r="C7" s="180"/>
      <c r="D7" s="177" t="s">
        <v>4511</v>
      </c>
      <c r="E7" s="177" t="s">
        <v>4557</v>
      </c>
      <c r="F7" s="177" t="s">
        <v>4650</v>
      </c>
      <c r="G7" s="201" t="s">
        <v>2756</v>
      </c>
      <c r="H7" s="201" t="s">
        <v>2757</v>
      </c>
      <c r="I7" s="202" t="s">
        <v>2758</v>
      </c>
      <c r="J7" s="403" t="s">
        <v>4491</v>
      </c>
      <c r="K7" s="403" t="s">
        <v>4490</v>
      </c>
      <c r="L7" s="201" t="s">
        <v>2759</v>
      </c>
      <c r="M7" s="185" t="s">
        <v>2760</v>
      </c>
      <c r="N7" s="185" t="s">
        <v>2761</v>
      </c>
      <c r="O7" s="185" t="s">
        <v>2762</v>
      </c>
      <c r="P7" s="403" t="s">
        <v>4507</v>
      </c>
      <c r="Q7" s="403" t="s">
        <v>4497</v>
      </c>
      <c r="R7" s="185" t="s">
        <v>2763</v>
      </c>
      <c r="S7" s="185" t="s">
        <v>2764</v>
      </c>
      <c r="T7" s="185" t="s">
        <v>2765</v>
      </c>
      <c r="U7" s="200" t="s">
        <v>4483</v>
      </c>
      <c r="V7" s="306" t="s">
        <v>4198</v>
      </c>
      <c r="W7" s="306" t="s">
        <v>2875</v>
      </c>
      <c r="X7" s="306" t="s">
        <v>2353</v>
      </c>
    </row>
    <row r="8" spans="1:25" s="195" customFormat="1" ht="15">
      <c r="A8" s="195">
        <v>6</v>
      </c>
      <c r="B8" s="195" t="s">
        <v>3204</v>
      </c>
      <c r="D8" s="15" t="s">
        <v>4512</v>
      </c>
      <c r="E8" s="15" t="s">
        <v>4775</v>
      </c>
      <c r="F8" s="15" t="s">
        <v>4651</v>
      </c>
      <c r="G8" s="133" t="s">
        <v>221</v>
      </c>
      <c r="H8" s="133" t="s">
        <v>3260</v>
      </c>
      <c r="I8" s="196" t="s">
        <v>3873</v>
      </c>
      <c r="J8" s="196" t="s">
        <v>4493</v>
      </c>
      <c r="K8" s="196" t="s">
        <v>4492</v>
      </c>
      <c r="L8" s="133" t="s">
        <v>4075</v>
      </c>
      <c r="M8" s="133" t="s">
        <v>1570</v>
      </c>
      <c r="N8" s="192" t="s">
        <v>1567</v>
      </c>
      <c r="O8" s="127" t="s">
        <v>896</v>
      </c>
      <c r="P8" s="196" t="s">
        <v>426</v>
      </c>
      <c r="Q8" s="196" t="s">
        <v>4494</v>
      </c>
      <c r="R8" s="135" t="s">
        <v>427</v>
      </c>
      <c r="S8" s="135" t="s">
        <v>900</v>
      </c>
      <c r="T8" s="197" t="s">
        <v>903</v>
      </c>
      <c r="U8" s="198" t="s">
        <v>3873</v>
      </c>
      <c r="V8" s="388" t="s">
        <v>1941</v>
      </c>
      <c r="W8" s="388" t="s">
        <v>1942</v>
      </c>
      <c r="X8" s="389" t="s">
        <v>1943</v>
      </c>
      <c r="Y8" s="15" t="s">
        <v>2352</v>
      </c>
    </row>
    <row r="11" spans="1:25">
      <c r="A11" s="190">
        <f>Application!H414</f>
        <v>0</v>
      </c>
      <c r="B11" s="190" t="s">
        <v>3287</v>
      </c>
      <c r="C11" s="190"/>
      <c r="D11" s="190" t="str">
        <f>LOOKUP($A$1,'Lang Boat'!$A$3:$A$8,'Lang Boat'!D13:D18)</f>
        <v>DESIGN and STANDARD HULLS</v>
      </c>
      <c r="E11" s="190" t="str">
        <f>LOOKUP($A$1,'Lang Boat'!$A$3:$A$8,'Lang Boat'!E13:E18)</f>
        <v>These designs may use use simplied form</v>
      </c>
      <c r="F11" s="190" t="str">
        <f>LOOKUP($A$1,'Lang Boat'!$A$3:$A$8,'Lang Boat'!F13:F18)</f>
        <v>Click here and use arrow on right</v>
      </c>
    </row>
    <row r="13" spans="1:25">
      <c r="A13" s="180">
        <v>1</v>
      </c>
      <c r="B13" s="180" t="s">
        <v>3288</v>
      </c>
      <c r="C13" s="180"/>
      <c r="D13" s="15" t="s">
        <v>4659</v>
      </c>
      <c r="E13" s="179" t="s">
        <v>4704</v>
      </c>
      <c r="F13" s="179" t="s">
        <v>1492</v>
      </c>
    </row>
    <row r="14" spans="1:25">
      <c r="A14" s="180">
        <v>2</v>
      </c>
      <c r="B14" s="180" t="s">
        <v>3289</v>
      </c>
      <c r="C14" s="180"/>
      <c r="D14" s="15" t="s">
        <v>4702</v>
      </c>
      <c r="E14" s="179" t="s">
        <v>4705</v>
      </c>
      <c r="F14" s="179" t="s">
        <v>4707</v>
      </c>
    </row>
    <row r="15" spans="1:25">
      <c r="A15" s="180">
        <v>3</v>
      </c>
      <c r="B15" s="180" t="s">
        <v>3290</v>
      </c>
      <c r="C15" s="180"/>
      <c r="D15" s="15" t="s">
        <v>4703</v>
      </c>
      <c r="E15" s="179" t="s">
        <v>4706</v>
      </c>
      <c r="F15" s="49" t="s">
        <v>4708</v>
      </c>
    </row>
    <row r="16" spans="1:25">
      <c r="A16" s="180">
        <v>4</v>
      </c>
      <c r="B16" s="180" t="s">
        <v>3291</v>
      </c>
      <c r="C16" s="180"/>
      <c r="D16" s="15"/>
    </row>
    <row r="17" spans="1:6">
      <c r="A17" s="180">
        <v>5</v>
      </c>
      <c r="B17" s="180" t="s">
        <v>3292</v>
      </c>
      <c r="C17" s="180"/>
      <c r="D17" s="676" t="s">
        <v>4659</v>
      </c>
      <c r="E17" s="420" t="s">
        <v>4704</v>
      </c>
      <c r="F17" s="179" t="s">
        <v>1492</v>
      </c>
    </row>
    <row r="18" spans="1:6" ht="15">
      <c r="A18" s="195">
        <v>6</v>
      </c>
      <c r="B18" s="195" t="s">
        <v>3204</v>
      </c>
      <c r="C18" s="195"/>
      <c r="D18" s="15" t="s">
        <v>4659</v>
      </c>
      <c r="E18" s="179" t="s">
        <v>4704</v>
      </c>
      <c r="F18" s="179" t="s">
        <v>1492</v>
      </c>
    </row>
  </sheetData>
  <sheetProtection password="C620" sheet="1"/>
  <phoneticPr fontId="1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19</vt:i4>
      </vt:variant>
      <vt:variant>
        <vt:lpstr>Charts</vt:lpstr>
      </vt:variant>
      <vt:variant>
        <vt:i4>1</vt:i4>
      </vt:variant>
      <vt:variant>
        <vt:lpstr>Named Ranges</vt:lpstr>
      </vt:variant>
      <vt:variant>
        <vt:i4>174</vt:i4>
      </vt:variant>
    </vt:vector>
  </HeadingPairs>
  <TitlesOfParts>
    <vt:vector size="194"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Sail Plan</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Validation!Print_Area</vt:lpstr>
      <vt:lpstr>Prism</vt:lpstr>
      <vt:lpstr>Pronavia</vt:lpstr>
      <vt:lpstr>Puppeteer</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Eric</cp:lastModifiedBy>
  <cp:lastPrinted>2017-10-24T12:57:43Z</cp:lastPrinted>
  <dcterms:created xsi:type="dcterms:W3CDTF">1999-09-24T13:50:40Z</dcterms:created>
  <dcterms:modified xsi:type="dcterms:W3CDTF">2018-01-01T20:50:43Z</dcterms:modified>
</cp:coreProperties>
</file>